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ll Submissions (not approved f" sheetId="1" r:id="rId4"/>
    <sheet state="visible" name="COMPLETE LIBRARY (approved for " sheetId="2" r:id="rId5"/>
    <sheet state="visible" name="Carbon Tax" sheetId="3" r:id="rId6"/>
    <sheet state="visible" name="Emissions Trading" sheetId="4" r:id="rId7"/>
    <sheet state="visible" name="Removal of Fossil Fuels Subsidi" sheetId="5" r:id="rId8"/>
    <sheet state="visible" name="Natural Gas DA" sheetId="6" r:id="rId9"/>
    <sheet state="visible" name="Carbon Bubble DA" sheetId="7" r:id="rId10"/>
    <sheet state="visible" name="REM DA" sheetId="8" r:id="rId11"/>
    <sheet state="visible" name="Settler Colonialism K" sheetId="9" r:id="rId12"/>
    <sheet state="visible" name="Degrowth DA" sheetId="10" r:id="rId13"/>
    <sheet state="visible" name="Marx Ecology K" sheetId="11" r:id="rId14"/>
  </sheets>
  <definedNames>
    <definedName hidden="1" localSheetId="2" name="_xlnm._FilterDatabase">'Carbon Tax'!$D$1:$D$118</definedName>
    <definedName hidden="1" localSheetId="3" name="_xlnm._FilterDatabase">'Emissions Trading'!$D$1:$D$118</definedName>
    <definedName hidden="1" localSheetId="4" name="_xlnm._FilterDatabase">'Removal of Fossil Fuels Subsidi'!$D$1:$D$116</definedName>
    <definedName hidden="1" localSheetId="6" name="_xlnm._FilterDatabase">'Carbon Bubble DA'!$D$1:$D$116</definedName>
    <definedName hidden="1" localSheetId="8" name="_xlnm._FilterDatabase">'Settler Colonialism K'!$D$1:$D$118</definedName>
    <definedName hidden="1" localSheetId="9" name="_xlnm._FilterDatabase">'Degrowth DA'!$D$1:$D$118</definedName>
    <definedName hidden="1" localSheetId="10" name="_xlnm._FilterDatabase">'Marx Ecology K'!$D$1:$D$118</definedName>
  </definedNames>
  <calcPr/>
</workbook>
</file>

<file path=xl/sharedStrings.xml><?xml version="1.0" encoding="utf-8"?>
<sst xmlns="http://schemas.openxmlformats.org/spreadsheetml/2006/main" count="1242" uniqueCount="505">
  <si>
    <t>Approved for use?</t>
  </si>
  <si>
    <t>YES</t>
  </si>
  <si>
    <t>NO</t>
  </si>
  <si>
    <t>APA-COMPLIANT CITATION</t>
  </si>
  <si>
    <t>AUTHOR(S) QUALIFICATIONS</t>
  </si>
  <si>
    <t>RELATION TO TOPIC</t>
  </si>
  <si>
    <t>TOPIC ARGUMENT(S) SUPPORTED</t>
  </si>
  <si>
    <t>CONTRIBUTOR ABSTRACT
Summarizes the primary arguments.</t>
  </si>
  <si>
    <t>ORIGINAL ABSTRACT (if available)</t>
  </si>
  <si>
    <t>CONTRIBUTOR LAST NAME and INSTITUTION
EXAMPLE: Johnson WSU</t>
  </si>
  <si>
    <t>LIBRARY  WAVE</t>
  </si>
  <si>
    <t>LINK TO SEARCHABLE PDF DOCUMENT</t>
  </si>
  <si>
    <t>Metcalf, G. E. (2019). On the Economics of a Carbon Tax for the United States. Brookings Papers on Economic Activity, 405-458</t>
  </si>
  <si>
    <t>Metcalf is a professor of economics at Tufts University and a research associate at the National Bureau of Economic Research.</t>
  </si>
  <si>
    <t>AFFIRMATIVE</t>
  </si>
  <si>
    <t>Carbon Tax</t>
  </si>
  <si>
    <t xml:space="preserve">Strong AFF advocacy supported quantitatively and by multiple empirics. </t>
  </si>
  <si>
    <t>Climate change is driven by the buildup of greenhouse gases (GHGs) in the atmosphere, which is predominantly the result of the world’s consumption of fossil fuels. GHGs are a global pollution externality for which a global solution is required. I describe the role a domestic carbon tax could play in reducing U.S. emissions and compare and contrast alternative approaches to reducing our GHG pollution. Carbon taxes have been implemented in 23 jurisdictions around the world. I provide evidence on emission reductions and the economic impact of British Columbia’s carbon tax, a broad-based carbon assessment that has been in effect for over a decade. I also provide an analysis of carbon taxes used in the countries that belong to the European Union.</t>
  </si>
  <si>
    <t>Mooney Hillsdale</t>
  </si>
  <si>
    <t>1 (due   )</t>
  </si>
  <si>
    <t>https://drive.google.com/open?id=1W5d5V07POp--_kB4h_3t-Yu-5iLJ9YB6</t>
  </si>
  <si>
    <t>Bailey, D. (2023). Unlocking net zero emissions: accelerating innovation &amp; deployment through carbon pricing. Climate Leadership Council</t>
  </si>
  <si>
    <t>CLC senior advsior; Georgetown SFS instructor.</t>
  </si>
  <si>
    <t>Broad defense of carbon tax--focused on innovation</t>
  </si>
  <si>
    <t>n/a</t>
  </si>
  <si>
    <t>Cram Helwich, UMN</t>
  </si>
  <si>
    <t>https://drive.google.com/open?id=1jnx0QZRCwYYoHo4C4UnxZKEdLXeSJJPF</t>
  </si>
  <si>
    <t>Rorke, C. &amp; Bertelsen, G. (2020). America's carbon advantage. Climate Leadership Council</t>
  </si>
  <si>
    <t>Rorke--VP, CLC &amp; former Director, Energy Policy, R Street Institute; Bertelsen, CEO, CLC &amp; former NAM Senior Director</t>
  </si>
  <si>
    <t>CT--defense of border adjustment mechanisms</t>
  </si>
  <si>
    <t>https://drive.google.com/open?id=1_XiqsrXAm1Pt4cZ5LC7n95mMGeHGeUSr</t>
  </si>
  <si>
    <t>Fremstad, A. and Paul, M. (2019). The Impact of a Carbon Tax on Inequality. Science Direct, 88-97</t>
  </si>
  <si>
    <t xml:space="preserve">Fremstad: associate professor in the Economics Department at Colorado State University, teaching courses in microeconomics, environmental economics, and political economy.   Paul: Division of Social Sciences, New College of Florida </t>
  </si>
  <si>
    <t>MIXED</t>
  </si>
  <si>
    <t>Carbon tax can hurt low income households and make inequality worse in the United States. Argues for carbon tax revenue used to minimizing this.</t>
  </si>
  <si>
    <t>Climate change and economic inequality are inextricably linked. Despite widespread agreement among researchers and policymakers that a carbon tax is the most efficient mechanism to curb greenhouse gas emissions, such a tax exacerbates inequality since low-income households spend a greater share of their income on carbon-intensive goods. Using Input-Output tables and detailed expenditure data for the United States, we estimate households' carbon footprints and examine the impact of a revenue-neutral tax of $50 per ton of CO2 on multiple forms of inequality. Devoting carbon tax revenue to fund a carbon dividend makes the policy progressive, minimizes redistribution among households of similar means, mitigates group-based inequalities, and benefits 56% of people, including 84% in the bottom half of the distribution. While some researchers have dismissed dividends on efficiency grounds, we show that the double dividend typically associated with labor tax cuts is insufficient to protect the purchasing power of a majority of Americans.</t>
  </si>
  <si>
    <t>Halpin WWU</t>
  </si>
  <si>
    <t>https://drive.google.com/open?id=1PASnQjZgnCxCms9D3JeztyUc3qMEsSP1</t>
  </si>
  <si>
    <t>Carattini, S., Carvalho, M., &amp; Fankhauser, S. (2018). Overcoming public resistance to carbon taxes. Wiley interdisciplinary reviews. Climate change, 9(5), e531.</t>
  </si>
  <si>
    <t>Assistant Professor in the Department of Economics at Georgia State University, Andrew Young School of Policy Studies. obtained a PhD in Economics from the University of Barcelona and a MSc in Economics from the University of Lausanne. He also holds a BA in Socio-economics from the University of Geneva.</t>
  </si>
  <si>
    <t>Carbon Taxes have good potential but historically face intense public opposition. The article talks about incentives of and incentives against public support and creates design suggestions for carbon tax policies.</t>
  </si>
  <si>
    <t>Carbon taxes represent a cost‐effective way to steer the economy toward a greener future. In the real world, their application has however been limited. In this paper, we address one of the main obstacles to carbon taxes: public opposition. We identify drivers of and barriers to public support, and, under the form of stylized facts, provide general lessons on the acceptability of carbon taxes. We derive our lessons from a growing literature, as well as from a combination of policy “failures” and “successes.” Based on our stylized facts, we formulate a set of suggestions concerning the design of carbon taxes. We consider the use of trial periods, tax escalators, environmental earmarking, lump‐sum transfers, tax rebates, and advanced communication strategies, among others. This paper contributes to the policy debate about carbon taxes, hopefully leading to more success stories and fewer policy failures.</t>
  </si>
  <si>
    <t>Rapoport Hillsdale</t>
  </si>
  <si>
    <t>Wave 4 (March 26)</t>
  </si>
  <si>
    <t>https://drive.google.com/open?id=1viomBrzK8Kp8NQ0Z8P1asuLr4DVCUImc</t>
  </si>
  <si>
    <t>Böhringer, Christoph, et al. (2022). "Potential Impacts and Challenges of Border Carbon Adjustments." Nature Climate Change, vol. 12, 3 Jan. 2022, pp. 22-29, https://doi.org/10.1038/s41558-021-01250-z.</t>
  </si>
  <si>
    <t>Bohringer is a Professor of Economic Policy at the Carl von Ossietzky University Oldenburg</t>
  </si>
  <si>
    <t>Gives potential benefits and challenges of a BCA</t>
  </si>
  <si>
    <t>Harmonized carbon pricing across borders is hard to achieve in the real world as carbon leakage can reduce the cost-effectiveness of unilateral approaches to reduce global emissions. To address this problem, border carbon adjustments (BCAs) would apply the domestic carbon price to emissions embodied in traded goods, which levels the playing field for emissions-intensive and trade-exposed industries. Here, we review the potential environmental and economic impact of border carbon adjustments on leakage reduction, competitiveness restoration, cost-effectiveness, equity and cooperation enhancement. We find that the viability of border carbon adjustment schemes can be substantially reduced with the current legal and practical implementation constraints.</t>
  </si>
  <si>
    <t>Woo Hillsdale</t>
  </si>
  <si>
    <t>https://drive.google.com/open?id=1MftpWFJOpL2kDzHP3Kw3YDAfahiZBg97</t>
  </si>
  <si>
    <t>Mcgillis, J. (2019). The case against a carbon tax. Institute for Energy Research Policy Paper.</t>
  </si>
  <si>
    <t>Deputy Director of Research, Institute for Energy Research</t>
  </si>
  <si>
    <t>NEGATIVE</t>
  </si>
  <si>
    <t>Right-leaning criticism of carbon taxes--economic and effectiveness focus</t>
  </si>
  <si>
    <t>https://drive.google.com/open?id=1DHhsfMIueqHMMedxtLOFTRuBNE56A2rD</t>
  </si>
  <si>
    <t>Malerba, D., Chen, X., Feng, K., Hubacek, K., &amp; Oswald, Y. (2022). The impact of carbon taxation and revenue redistribution on poverty and inequality. www.econstor.eu. https://doi.org/10.23661/ipb11.2022</t>
  </si>
  <si>
    <t xml:space="preserve">Malerba is a Senior Researcher at the German Institute for Development and Sustainability. Chen holds a PhD in Sustainable and Renewable Energy and works as a lecturer at Loughborough University. Feng is a professor in the Department of Geographical Science at the University of Maryland at College Park. Hubacek is a professor in Science, Technology and Society at the University of Groningen, the Netherlands. Oswald holds a PhD in Quantitative Ecological Economics </t>
  </si>
  <si>
    <t>Provides empirical analysis of Sweden's carbon and gasoline taxes and analyzes the link between the regressivity of carbon taxes and income inequality. Finds that the progressivity/regressivity of carbon taxes depends on the Gini coefficient or the change in income inequality over time, and that carbon taxes are more likely to be regressive in high income countries</t>
  </si>
  <si>
    <t>This paper addresses the question of the distributional burden of a carbon tax. It shows that, not only the income measure – annual or lifetime – matters for the incidence of the tax, but also the underlying distribution of income. The Swedish carbon tax on transport fuel is regressive between 1999-2012 when measured against annual income, but progressive when using lifetime income. The overall trend, however, is toward an increase in regressivity, which is highly correlated with a rise in income inequality. Analysis of the determinants of distributional effects lends support to our hypothesis that, for necessities – goods with an income elasticity below one – rising income inequality increases the regressivity of a consumption tax. To mitigate climate change, a carbon tax should be applied to goods that typically are necessities: transport fuel, food, heating, and electricity. Carbon taxation will thus likely be regressive in high-income countries, the more so the more unequal the distribution of income</t>
  </si>
  <si>
    <t>Wave 2 (due Nov. 8)</t>
  </si>
  <si>
    <t>https://drive.google.com/open?id=1JJujNQN4W1mwdUUDB1j7Hye5pLjmUqOx</t>
  </si>
  <si>
    <t xml:space="preserve">Tanuro, D. (2017). The right’s green awakening. Jacobin. https://jacobin.com/2017/04/climate-change-cop21-tax-dividend-cap-trade-emissions-capitalism/ </t>
  </si>
  <si>
    <t>Daniel Tanuro is a certified agriculturalist, an ecosocialist activist, and the author of The Impossibility of Green Capitalism</t>
  </si>
  <si>
    <t>Carbon taxes are not a step in the right direction. Market-based approaches trade off with more effective command and control approaches (i.e. regulations) and mystify the root cause of the climate crisis: capitalist obsession with accumulation and consumption.</t>
  </si>
  <si>
    <t>Lemuel (CSUN)</t>
  </si>
  <si>
    <t>Wave 3 (Due Dec. 27)</t>
  </si>
  <si>
    <t>https://drive.google.com/open?id=1a0UFtMh_xF7JWA4VerSHquxGDfAdCa48</t>
  </si>
  <si>
    <t>Rosenbloom, D. Markard, J. Geels, F. Fuenfschilling, L. (2020). Why carbon pricing is not sufficient to mitigate climate change—and how “sustainability transition policy” can help. PNAS, 117 (16) 8664-8668</t>
  </si>
  <si>
    <t>Daniel Rosenblooma, Jochen Markardb, Frank W. Geelsc, and Lea Fuenfschilling d: a Department of Political Science, University of Toronto; b Department of Management, Technology, and Economics, ETH Zürich, ; c Alliance Manchester Business School, University of Manchester; and d Centre for Innovation, Research and Competence in the Learning Economy, Lund University</t>
  </si>
  <si>
    <t>Carbon tax and Emissions Trading + CP</t>
  </si>
  <si>
    <t>Criticizes carbon pricing and market mechanisms of addressing climate change in five ways. Includes a potential counter plan of Sustainability Transition Policy, which it defines</t>
  </si>
  <si>
    <t>Carbon pricing is often presented as the primary policy approach to address climate change. We challenge this position and offer “sustainability transition policy” (STP) as an alternative. Carbon pricing has weaknesses with regard to five central dimensions: 1) problem framing and solution orientation, 2) policy priorities, 3) innovation approach, 4) contextual considerations, and 5) politics. In order to address the urgency of climate change and to achieve deep decarbonization, climate policy responses need to move beyond market failure reasoning and focus on fundamental changes in existing sociotechnical systems such as energy, mobility, food, and industrial production. The core principles of STP can help tackle this challenge.</t>
  </si>
  <si>
    <t>https://drive.google.com/open?id=1SuUf9cdaU3LbVjb4E8xY24d1xhT6tc0b</t>
  </si>
  <si>
    <t xml:space="preserve">Scafetta, N. (2024). Impacts and Risks of ‘Realistic’ Global Warming Projections for the 21st Century, Geoscience Frontiers, 15(2), 1-25. </t>
  </si>
  <si>
    <t xml:space="preserve">Nicola Scafetta is a research scientist at the University of Napoli Federico II. He was formerly at the ACRIM Lab group and an adjunct assistant professor in the physics department at Duke University. His research interests are in theoretical and applied statistics and nonlinear models of complex processes. He does extensive research in climate policy, solar physics, and complex systems. </t>
  </si>
  <si>
    <t>Warming Adv. Defense</t>
  </si>
  <si>
    <t>Impact defense to warming scenarios. Discusses the realities of climate change, they will not be dramatic events and will slowly happen over time, argues humans have adaptive nature and will create mitigation policies to lessen the damage of climate change, going above 2 degrees will be a mild change and challenges this notion from the IPCC</t>
  </si>
  <si>
    <t>The IPCC AR6 assessment of the impacts and risks associated with projected climate changes for the 21st century is both alarming and ambiguous. According to computer projections, global surface temperature may warm from 1.3 C to 8.0 C by 2100, depending on the global climate model (GCM) and the shared socioeconomic pathway (SSP) scenario used for the simulations. Actual climate-change hazards are estimated to be high and very high if the global surface temperature rises, respectively, more than 2.0 C and 3.0 C above pre-industrial levels. Recent studies, however, showed that a substantial number of CMIP6 GCMs run ‘‘too hot” because they appear to be too sensitive to radiative forcing, and that the high/extreme emission scenarios SSP3-7.0 and SSP5-8.5 are to be rejected because judged to be unlikely and highly unlikely, respectively. Yet, the IPCC AR6 mostly focused on such alarmistic scenarios for risk assessments. This paper examines the impacts and risks of ‘‘realistic” climate change projections for the 21st century generated by assessing the theoretical models and integrating them with the existing empirical knowledge on global warming and the various natural cycles of climate change that have been recorded by a variety of scientists and historians. This is achieved by combining the SSP2-4.5 scenario (which is the most likely SSP according to the current policies reported by the International Energy Agency) and empirically optimized climate modeling. According to recent research, the GCM macroensemble that best hindcast the global surface warming observed from 1980 to 1990 to 2012–2022 should be made up of models that are characterized by a low equilibrium climate sensitivity (ECS) (1.5 C &lt; ECS 3.0 C), in contrast to the IPCC AR6 likely and very likely ECS ranges at 2.5–4.0 C and 2.05.0 C, respectively. I show that the low-ECS macro-GCM with the SSP2-4.5 scenario projects a global surface temperature warming of 1.68–3.09 Cby 2080–2100 instead of1.98–3.82 Cobtained with theGCMs with ECS in the 2.5–4.0 C range. However, if the global surface temperature records are affected by significant non-climatic warm biases — as suggested by satellite-based lower troposphere temperature records and current studies on urban heat island effects — the same climate simulations should be scaled down by about 30%, resulting in a warming of about 1.18–2.16 C by 2080–2100. Furthermore, similar moderate warming estimates (1.15–2.52 C) are also projected by alternative empirically derived models that aim to recreate the decadal-to-millennial natural climatic oscillations, which the GCMs do not reproduce. The proposed methodologies aim to simulate hypothetical models supposed to optimally hindcast the actual available data. The obtained climate projections show that the expected global surface warming for the 21st-century will likely be mild, that is, no more than 2.5–3.0 C and, on average, likely below the 2.0 C threshold. This should allow for the mitigation and management of the most dangerous climate-change related hazards through appropriate low-cost adaptation policies. In conclusion, enforcing expensive decarbonization and net-zero emission scenarios, such as SSP1-2.6, is not required because the Paris Agreement temperature target of keeping global warming &lt; 2 C throughout the 21st century should be compatible also with moderate and pragmatic shared socioeconomic pathways such as the SSP2-4.5</t>
  </si>
  <si>
    <t>Talamantes WSU</t>
  </si>
  <si>
    <t>https://drive.google.com/open?id=1kB1xwI1YFg3KxU_VrJT8CZksIy5yTC7e</t>
  </si>
  <si>
    <t xml:space="preserve">DeAngelo, H., &amp; Curry, J. (2025, February 20). A Critique of the Apocalyptic Climate Narrative. SSRN. https://papers.ssrn.com/sol3/papers.cfm?abstract_id=5145310#paper-references-widget </t>
  </si>
  <si>
    <t>Harry DeAngelo is a professor at the University of Southern California, part of the Finance and Economics Department; Judith Curry is a professor at Georgia Institute of Technology</t>
  </si>
  <si>
    <t>Warming Defense</t>
  </si>
  <si>
    <t xml:space="preserve">Provides further defense for negative to climate change doom scenarios. Discusses how the portrayal of climate change as an existential threat needing net-zero by mid to late century are out blown. Instead, such narratives have unintended consequences; saying that there is need to vastly limit fossil fuels ignores the massive consequences that would occur. Policies that urgently suppress fossil-fuel use will not only result in little to no impact on global warming itself but are harmful to finding viable alternatives. </t>
  </si>
  <si>
    <t>The Apocalyptic climate narrative is a seriously misleading propaganda tool and a socially destructive guide for public policy. The narrative radically overstates the risks to humanity of continued global warming, which are manageable, not existential. It prescribes large-scale near-term suppression of fossil-fuel use, while failing to recognize the huge costs that such suppression would inflict on humans because fossil fuels are currently irreplaceable inputs for producing food (via ammonia-based fertilizer), steel, cement, and plastics. This paper details the flaws in the Apocalyptic narrative and articulates nine principles for sensible
U.S. policies on energy and global warming.</t>
  </si>
  <si>
    <t>Weikel UO</t>
  </si>
  <si>
    <t>https://drive.google.com/open?id=1OHYtkjhPkow7ia9SK03XUI0v5Z1wVk2L</t>
  </si>
  <si>
    <t>Arcila, A., &amp; Baker, J. D. (2022). Evaluating carbon tax policy: A methodological reassessment of a natural experiment. Energy Economics, 111, 106053.</t>
  </si>
  <si>
    <t>Both A Arcila and JD Baker are Professors of Economics at the University of Waterloo in Waterloo ON, Canada.</t>
  </si>
  <si>
    <t xml:space="preserve">An analysis of the BC CT found that it did not reduce emissions. </t>
  </si>
  <si>
    <t>Heralded as the grand experiment in carbon tax policy, the Canadian province of British Columbia was on the forefront of North American environmental policy when it implemented a carbon tax in 2008. Despite being well-lauded in the literature, new data suggests that CO2 emissions and fossil fuel consumption have in fact risen in recent years. We test the effectiveness of the policy change using a synthetic control analysis and find that, contrary to the theoretical intuition about carbon taxation, CO2 emissions and gasoline consumption rose in British Columbia relative to the synthetic control. However, we do find there to be a reduced share of economic activity in the energy industry following the policy change.</t>
  </si>
  <si>
    <t>McNamara Hillsdale</t>
  </si>
  <si>
    <t>https://drive.google.com/open?id=1h5j6SDlXvDPw0OcGyGXlo29tYglr5smD</t>
  </si>
  <si>
    <t xml:space="preserve">Beaumont-Smith, G. (2024, July 30). Are Carbon Border Adjustments a Dream Climate Policy or Protectionist Nightmare?. Cato.org. https://www.cato.org/policy-analysis/are-carbon-border-adjustments-dream-climate-policy-or-protectionist-nightmare#eus-emissions-trading-system </t>
  </si>
  <si>
    <t>GABRIELLA BEAUMONT-SMITH is a former policy analyst at the Cato Institute’s Herbert A. Stiefel Center for Trade Policy Studies.</t>
  </si>
  <si>
    <t>Discusses what a carbon border adjustment is and the only actual example in real life of one is in the EU. Talks about practical problems with CBAM such as violating WTO commitments, invites free riding, and disproportionately affects consumers. Advocates for paths and policies that induce freer trade.</t>
  </si>
  <si>
    <t>Climate change is an increasingly important
consideration in trade policy. For instance, many
countries try to limit their greenhouse gas
emissions through domestic carbon pricing and
regulatory schemes, and many trade agreements now include
environmental provisions. In addition, some policymakers are
looking to extend carbon pricing schemes to the international
level. This has led to proposals for a carbon border adjustment
mechanism (CBAM), which would tax the carbon emissions
connected to the imported goods at the same rate as the
carbon tax applied to domestic products.
The only example of a currently adopted CBAM is in the
European Union, which began phasing in the policy in October
2023. Several members of the United States Congress have
introduced legislation proposing border adjustments and
carbon tariffs, but none have become law. However, neither
the European Union’s CBAM nor any of the US proposals
should be considered a true CBAM, and it is unclear whether
they would comply with World Trade Organization rules.
While the idea of a government using taxes to protect the
environment is established in economic theory, there are
reasons to doubt that a CBAM would be effective at reducing
emissions to mitigate climate change. Instead, these policies
are likely to create uneven distributional effects on
consumers as well as multiple pathways for rent seeking,
cronyism, and protectionism.
Instead of imposing more taxes on trade, policymakers
should pursue freer trade, which would provide opportunities
to tackle excessive greenhouse gas emissions. Centuries of
evidence have established that trade spurs economic growth,
which contributes to cleaner environments. Therefore, the
best path toward a cleaner and healthier world is to engage in
freer trade and avoid enriching special interests through
protectionism.</t>
  </si>
  <si>
    <t>https://drive.google.com/open?id=1vVbbezW0fDR-TFA1oH9Ux6AzEqPuT-vg</t>
  </si>
  <si>
    <r>
      <rPr/>
      <t xml:space="preserve">Diedrich, G. (2023). “State Cap-and-Trade Programs,” Forest Carbon and Climate Program within the Department of Forestry at Michigan State University, </t>
    </r>
    <r>
      <rPr>
        <color rgb="FF1155CC"/>
        <u/>
      </rPr>
      <t>https://www.canr.msu.edu/fccp/Uploads/Files/2b.%20Cap%20and%20Trade_FINAL_v2.pdf</t>
    </r>
  </si>
  <si>
    <t>Graham Diedrich is a masters student at Michigan State University, pursuing a Master of Science (M.S.) in Data Science with focus on environmental policy and climate change. His research centers on sustainable resource governance, environmental justice, and clean energy systems, former fellow with Dept of Clean Energy and Center for Environmental Justice</t>
  </si>
  <si>
    <t>Emissions Trading</t>
  </si>
  <si>
    <t>different examples of state based cap and trade programs, knowledge based article that explains the program, impact scenario- forest health that is key to planetary health</t>
  </si>
  <si>
    <t>https://drive.google.com/open?id=1vsu1QJc33cNFFIfoaA3fBJ2kl9cm91c7</t>
  </si>
  <si>
    <r>
      <rPr/>
      <t xml:space="preserve">McGrath, M. (6 August 2018). “Climate change: 'Hothouse Earth' risks even if CO2 emissions slashed” BBC, </t>
    </r>
    <r>
      <rPr>
        <color rgb="FF1155CC"/>
        <u/>
      </rPr>
      <t>https://www.bbc.com/news/science-environment-45084144</t>
    </r>
  </si>
  <si>
    <t>Environmental Correspondent for BBC news services</t>
  </si>
  <si>
    <t>Need to start finding decarbonization methods due to massive impacts of climate change we're already seeing, decarbonization methods are the only way to solve for rapid escalation</t>
  </si>
  <si>
    <t>https://drive.google.com/open?id=1ncyiHFNw-XQRVuV44VWeDW98I-_Hex3Z</t>
  </si>
  <si>
    <r>
      <rPr/>
      <t xml:space="preserve">Socas, J. et al. (April 2024). “Greasing the Wheels’ of Decarbonization: A Primer on Global Carbon Markets”. Investcorp, </t>
    </r>
    <r>
      <rPr>
        <color rgb="FF1155CC"/>
        <u/>
      </rPr>
      <t>https://www.investcorp.com/wp-content/uploads/2024/04/The-Global-Carbon-Markets-April-2024-vF.pdf</t>
    </r>
  </si>
  <si>
    <t>James Socas is the Managing Director and Global Head of Investcorp’s Climate Solutions</t>
  </si>
  <si>
    <t>Carbon markets as they currently exist lack enforcement of penalties, are fragmented, and prove the insufficiency of state based approaches – reform to a federal level key, solvency advocate for CT</t>
  </si>
  <si>
    <t>https://drive.google.com/open?id=1jpGJpbAvcu0CESVSd8zdMkle88VE82yb</t>
  </si>
  <si>
    <t>Todd, J. (2023). Climate Cap and Trade and Pollution Hotspots: An Economics Perspective, Georgia State University Law Review, 39(4)</t>
  </si>
  <si>
    <t>Jeff Todd is an Associate Professor of Business Law, Department of Finance &amp; Economics, Texas State University. This Article is based on research conducted with the aid of a Dean’s Summer Research Stipend</t>
  </si>
  <si>
    <t xml:space="preserve">Cap and trade creating pollutants in marginalized neighborhoods, creates adverse impacts and doesn't reduce ghg emissions by a lot </t>
  </si>
  <si>
    <t xml:space="preserve">Although cap and trade is overwhelmingly preferred by economists for reducing greenhouse gases and spurring the adoption of renewables and other zero-carbon alternatives, some scholars and advocates worry that it allows firms to concentrate operations in poor and minority neighborhoods, thus leading to hot spots of harmful copollutants. Commentators differ on the danger of hot spots and the necessity of adjusting cap-and-trade programs to avoid them, however. This Article therefore surveys ex post economic studies of cap-and-trade programs to show that they do not lead to hot spots but may actually cool them—perhaps even better than command-andcontrol regulation. Accordingly, cap and trade unencumbered by unnecessary restrictions should be part of the policy mix for a just
energy transition. </t>
  </si>
  <si>
    <t>https://drive.google.com/open?id=1hjGVKjnIAgcuGMLnq1Yw3TwNNAGqKXIl</t>
  </si>
  <si>
    <t>Driesen, D. M., &amp; Mehling, M. A. (2023). Pricing, decarbonization, and green new deals. Wm. &amp; Mary Env't L. &amp; Pol'y Rev., 48, 211.</t>
  </si>
  <si>
    <t>David M. Driesen is University Professor at Syracuse University College of Law. He is the author of The Economic Dynamics of Environmental Law (MIT Press, 2003), winner of the 2004 Lynton Keith Caldwell Award for best book on environmental policy, presented by the American Political Science Association.</t>
  </si>
  <si>
    <t>Cap and Trade programs produce short term advantages, at the cost of long term change.  It's inherently unambitious both in pricing, and the percentage of emissions that it can actually impact.</t>
  </si>
  <si>
    <t>This Article evaluates an emerging literature claiming that carbon pricing (emissions trading or carbon taxes) has not performed very well and therefore cannot be the basis for the sort of transformative change now required to address the climate crisis. This is an important claim, as carbon pricing has been viewed as being at the heart of global efforts to address one of our most important contemporary problems. We provide theoretical and empirical support for these critics’ claim that carbon pricing by itself cannot catalyze the technological transformation now required, and that other approaches have done and will likely do better. We also agree with critics that pricing approaches have suffered from insufficient ambition and effectiveness in routine emission reductions. But we do not think that the critics have shown that alternative approaches have and will perform better in those terms. We develop a framework for enhancing empirical evaluation of past programs, as we now have a wealth of experience with both carbon pricing and a variety of alternatives, but a dearth of econometric comparative studies of past performance. We also explore the normative implications of the critics’ claims. We argue that even if they are entirely right, we should welcome even insufficiently ambitious pollution taxes as likely to enhance other programs and raise revenue to support them. We point out, however, that the trading programs now common around the world may undermine rather than support more successful programs and suggest that regulators consider cap-without-trade (imposing mass-based caps on pollution sources without allowing the trading of obligations) as an alternative. We also discuss the possibility of overcoming the critics’ objections by improving carbon pricing programs.</t>
  </si>
  <si>
    <t>Parkin WSU</t>
  </si>
  <si>
    <t>https://drive.google.com/open?id=1QMzKOMerUCQy5zfyOFjN0tgsfeRswtgw</t>
  </si>
  <si>
    <t>Socas, J. et al. (April 2024). “Greasing the Wheels’ of Decarbonization: A Primer on Global Carbon Markets”. Investcorp, https://www.investcorp.com/wp-content/uploads/2024/04/The-Global-Carbon-Markets-April-2024-vF.pdf</t>
  </si>
  <si>
    <t>Espinosa-Flor, S. I. (2022). A right to pollute versus a duty to mitigate: on the basis of emissions trading and carbon markets. Climate Policy, 22(7), 950-960.</t>
  </si>
  <si>
    <t>Dr. Espinoza has a PHD specializing in Environmental Philosophy, Climate Ethics, Philosophy of Science.</t>
  </si>
  <si>
    <t>It makes ethical case args; how do you fairly distribute permits? How do you chose an ethical price limit?  Outlines core controversies regarding the specifics of trading.</t>
  </si>
  <si>
    <t>Emissions trading, also known as cap-and-trade systems, has not yet fulfilled its function of mitigating overall global greenhouse gas (GHG) emissions. The reasons for this failure are manifold and have been broadly discussed at political and empirical levels in the last decades. However, much can still be said from a philosophical perspective. Such an analysis is not limited to the evaluation of cap-and-trade systems’ lack of efficiency and the consequences arising from it but goes deeper into the moral questions underlying cap-and-trade systems. This is how this paper attempts to contribute to and expand the debate on emissions trading at different levels. By examining a popular analogy between traditional and climate commons, I challenge some of the economic and normative assumptions at the core of cap-and-trade systems. I argue that these assumptions lead to misguided conclusions in responding to the causes of climate change. This will partly explain why, although emissions trading is intended to fulfil a duty to mitigate greenhouse gases, we should not pin all our hopes on it just yet.</t>
  </si>
  <si>
    <t>https://drive.google.com/open?id=1bWZnPn9EgUgD8PhFK8zWBLuN6dpVwISI</t>
  </si>
  <si>
    <t>Song, L. (2019) Cap and Trade is Supposed to Solve Climate Change but Oil and Gas Company Emissions are up. Pro Publica</t>
  </si>
  <si>
    <t>Lisa Song is a Pulitzer Prize nominated investigative journalist working at the forefront of climate change journalism. She joined ProPublica in 2017 after six years at InsideClimate News, where she covered climate science and environmental health. She was part of the reporting team that revealed Exxon’s shift from conducting global warming research to supporting climate denial, a series that was a finalist for the 2016 Pulitzer Prize for public service. From 2013-2014 she reported extensively on air pollution from Texas’ oil and gas boom as part of a collaboration between several newsrooms. Lisa is a co-author of “The Dilbit Disaster,” which won a Pulitzer for national reporting. She has degrees in earth science and science writing from the Massachusetts Institute of Technology.</t>
  </si>
  <si>
    <t>Oil and Gas lobbies have lobbied for minimal caps that allowed for an increase in pollution.</t>
  </si>
  <si>
    <t>Countries have called California’s cap-and-trade program the answer to
climate change. But it is just as vulnerable to lobbying as any other
legislation. The result: The state’s biggest oil and gas companies have
actually polluted more since it started.</t>
  </si>
  <si>
    <t>Leyba, UO</t>
  </si>
  <si>
    <t>https://drive.google.com/open?id=1pDq6086vc-tHEJWFAJGrFeKf36t7oz_a</t>
  </si>
  <si>
    <r>
      <rPr/>
      <t xml:space="preserve">Hersher ‘22. “Climate Change is Killing People, but there is Still Time to Reverse Damage.” NPR. </t>
    </r>
    <r>
      <rPr>
        <color rgb="FF1155CC"/>
        <u/>
      </rPr>
      <t>https://www.npr.org/2022/02/28/1082564304/billions-of-people-are-in-danger-from-climate-change-u-n-report-warns</t>
    </r>
  </si>
  <si>
    <t>Rebecca, a reporter at NPRs Climate Desk, where she reports on climate science, weather disasters and infrastructure</t>
  </si>
  <si>
    <t>Remove Fossil Fuel Subsidies</t>
  </si>
  <si>
    <t>Billions of people globally are already suffering due to climate change, which is causing extreme weather events particularly harming vulnerable communities, including the poor and Indigenous peoples.</t>
  </si>
  <si>
    <t>N/A</t>
  </si>
  <si>
    <t>https://drive.google.com/open?id=1y363lKD5p25fvcBxoKDcxPAtwnTv8JYE</t>
  </si>
  <si>
    <r>
      <rPr/>
      <t xml:space="preserve">Thallinger and Subram ‘24 “Fossil Fuel Subsidies Harm Planet, the Poor.” The Asset. </t>
    </r>
    <r>
      <rPr>
        <color rgb="FF1155CC"/>
        <u/>
      </rPr>
      <t>https://www.theasset.com/article-esg/51033/fossil-fuel-subsidies-harm-planet-the-poor</t>
    </r>
  </si>
  <si>
    <t>Günther, is a member of the board of management of Allianz SE with responsibity for investment management and sustainability, and Ludovic Subran is the chief economist at Allianz.</t>
  </si>
  <si>
    <t>Inherency-Fossil Fuels subsidies in the US drastically increase emissions, and makes climate mitigation impossible</t>
  </si>
  <si>
    <t xml:space="preserve">Moreno Gonzaga </t>
  </si>
  <si>
    <t>https://drive.google.com/open?id=1vwfFNzJEgF63u_3uGUpdnCD3SvnZ9TG6</t>
  </si>
  <si>
    <t>Eco Business ‘23 [“How fossil fuel subsidies are hurting the energy transition”, https://www.eco-business.com/news/how-fossil-fuel-subsidies-are-hurting-the-energy-transition/]</t>
  </si>
  <si>
    <t>Solvency - Ending fossil fuel subsidies forces companies to shift away from carbon intensive energy, enabling a green transition to renewables.</t>
  </si>
  <si>
    <t xml:space="preserve">None </t>
  </si>
  <si>
    <t>Moreno, Gonzaga  --- I also just realized what this line actually meant, any document submitted with andream060403 is Moreno Gonzaga - sorry about that there are probably four or five submissions with nothing on there or the editor contributor..,</t>
  </si>
  <si>
    <t>https://drive.google.com/open?id=1JNgnX1KCw5SfJv9mzo7RYkZy0-UDfplv</t>
  </si>
  <si>
    <t>THOMPSON, S. Strategic Analysis of the Renewable Electricity Transition: Power to the World without Carbon Emissions? Energies (19961073), [s. l.], v. 16, n. 17, p. 6183, 2023. DOI 10.3390/en16176183.</t>
  </si>
  <si>
    <t>Associate Professor of Natural Resources, University of Manitoba</t>
  </si>
  <si>
    <t>FF subsidies undermine Paris agreement, and need to be slashed</t>
  </si>
  <si>
    <t>This paper explores the role of electricity in the transition to renewable energy to mitigate climate change. A systematic literature review with the Scopus database identified 92 papers relevant to the renewable electricity transition. A PESTLE (Political, Economic, Sociological, Technological, Legal, and Environmental) review of the papers provided a multidisciplinary analysis. The Paris Agreement created a global movement for carbon neutrality to address the threats of climate change, calling for a transition to renewable electricity to lead the way and expand into new sectors and regions. Although smaller renewable technologies are ramping up, complexities thwarting the transition include locked-in assets, high upfront costs, variability of solar and wind energy, infrastructure, difficulty in decarbonizing transportation and industry, material resource constraints, and fossil fuel support. This research found that renewables are not replacing fossil fuels to date but adding further energy demands, so that greenhouse gas emissions rose in 2021 despite an increased renewable electricity share. Without a major shift in the trillions of dollars of subsidies and investment away from fossil fuels to renewables, catastrophic climate change is predicted. This paper found that the Paris Agreement’s commitment to net-zero carbon and the transition to renewable electricity are undermined by record-high levels of subsidies and financing for fossil fuel industry expansion. Transitioning to a climate-neutral economy requires an investment away from fossil fuels into renewable energy ecosystems. Renewable electricity provides possibilities to realize sustainable development goals, climate stabilization, job creation, a green economy, and energy security with careful planning.</t>
  </si>
  <si>
    <t>Celletti GU</t>
  </si>
  <si>
    <t>https://drive.google.com/open?id=1CGjmYomD5dBf9DfUdRD4EPhJBdVT_9rK</t>
  </si>
  <si>
    <t>Urpelainen, J. George, E. (2021). Reforming global fossil fuel subsidies: How the United States can restart international cooperation. The Brookings Institution</t>
  </si>
  <si>
    <t>Johannes Urpelainen: Prince Sultan bin Abdulaziz Professor of Energy, Resources and Environment - Johns Hopkins SAIS. Elisha George: Graduate Research Assistant - Initiative for Sustainable Energy Policy, Johns Hopkins University</t>
  </si>
  <si>
    <t>Argues for removal of US fossil fuel subsidies in a global context. Explains how US initiative impacts global climate efforts</t>
  </si>
  <si>
    <t>https://drive.google.com/open?id=1sznTTlYaDwNhYLPFILPOTFtaMWI8t_fF</t>
  </si>
  <si>
    <t>Van Den Bergh, J. (2024) Prioritize Carbon Pricing Over Fossil-Fuel Subsidy Reform</t>
  </si>
  <si>
    <t>Institute of Environmental Science and Technology, Universitat Autònoma de Barcelona, UAB campus, 08193 Bellaterra, Spain. 2 ICREA, Passeig de Lluís Companys 23, 08010 Barcelona, Spain. 3 School of Business and Economics &amp; Institute of Environmental Studies, Vrije Universiteit, De Boelelaan 1105, Amsterdam 1081 HV, the Netherlands. 4 Faculty of Technology, Policy and Management, Economics of Technology and Innovation, Delft University of Technology, Jaffalaan 5, 2628 BX Delft, the Netherlands.</t>
  </si>
  <si>
    <t>Argues that FFS are too minimal to make a dent in emissions. Focus should be on carbon pricing instead.</t>
  </si>
  <si>
    <t>While many climate activist groups enthusiastically advocate for the removal of fossil-fuel subsidies, we
argue that this overstates both the climate effectiveness and political feasibility of such a strategy.
Through synthesizing information from various global studies, we show that subsidies contribute to a relatively
small portion of climate change and local externality problems, likely accounting for around 1%. We
further argue that reform of fossil-fuel subsidies is hampered by various political and social factors, more
so than the diffusion of carbon pricing. Based on these results, we argue that the far greater problem of
unpriced externalities warrants a redirection or expansion of the enthusiasm for subsidy reform toward
carbon pricing. This makes sense also as subsidy reform and carbon pricing essentially represent two sides
of the same coin since both contribute to climate mitigation by raising fossil-fuel prices.</t>
  </si>
  <si>
    <t>Leyba UO</t>
  </si>
  <si>
    <t>https://drive.google.com/open?id=1sdF35CcQEeccDFBhHw5sLlItt49bquSR</t>
  </si>
  <si>
    <t xml:space="preserve">Brady, 21. “Fossil fuel subsidies are proving harder to end than first thought.” NPR. https://www.npr.org/2021/12/14/1064011237/fossil-fuel-subsidies-are-proving-harder-to-end-than-first-thought.] </t>
  </si>
  <si>
    <t>Jeff is the Climate and Energy Correspondent on NPR’s Climate Desk.</t>
  </si>
  <si>
    <t xml:space="preserve">This would be an industries and companies circumvention card to removing fossil fuel subsidies. </t>
  </si>
  <si>
    <t>Moreno Gonzaga</t>
  </si>
  <si>
    <t>https://drive.google.com/open?id=1lsRI-VsV4ia6Znpx9gd6DjWVjY90MPfQ</t>
  </si>
  <si>
    <t xml:space="preserve">Karlsson and Zimmer ’20 “Green Energy’s Dirty Side Effects.” Foreign Policy. https://foreignpolicy.com/2020/06/18/green-energy-dirty-side-effects-renewable-transition-climate-change-cobalt-mining-human-rights-inequality/.] </t>
  </si>
  <si>
    <t xml:space="preserve">Carl-Johan, is a Swedish freelance journalist based in Paris. Katarina is a freelance science and environmental journalist. </t>
  </si>
  <si>
    <t>This article functions as a impact turn to removing ff subsidies is good for marginalized groups: Transitioning away from fossil fuels is bad for the global south</t>
  </si>
  <si>
    <t>https://drive.google.com/open?id=165fWzTgWt_0p3VHrns3YQb9itQrkbhhd</t>
  </si>
  <si>
    <r>
      <rPr/>
      <t xml:space="preserve">Rentschler, J., &amp; Bazilian, M. (2016, June 22). Reforming fossil fuel subsidies: drivers, barriers and the state of progress. </t>
    </r>
    <r>
      <rPr>
        <color rgb="FF1155CC"/>
        <u/>
      </rPr>
      <t>https://www.tandfonline.com/doi/full/10.1080/14693062.2016.1169393#d1e143</t>
    </r>
  </si>
  <si>
    <t xml:space="preserve">Jun Rentschler is a Senior Economist at the Office of the Chief Economist for Sustainable Development, working at the intersection of climate change and sustainable resilient development. Prior to joining The World Bank in 2012, he served as an Economic Adviser at the German Foreign Ministry. </t>
  </si>
  <si>
    <t>Definitions of a fossil fuel subsidy, it outlines political, social and economic drives to remove FFS but explains how difficult it is for legislators to enact it</t>
  </si>
  <si>
    <t>This article outlines the current state of affairs in fossil fuel subsidy reform, and highlights its contribution at the nexus of climate policy, fiscal stability and sustainable development. It discusses common definitions, provides quantitative estimates, and presents the evidence for key arguments in favour of subsidy reform. The main drivers and barriers for reform are also discussed, including the role of (low) oil prices and political economy challenges. Commitments to subsidy reform by the international community are reviewed, as well as the progress at the country level. Although fossil fuel subsidy reform indeed plays a critical role in climate policy, experience shows that the rationale for such reforms is determined in a complex environment of political economy challenges, macro-economic, fiscal and social factors, as well as external drivers such as energy prices. The article synthesizes the key principles for designing effective reforms and emphasizes that subsidy reforms cannot only yield fiscal relief, but should also contribute to long-term sustainable development objectives. Areas for future research are also identified.</t>
  </si>
  <si>
    <t>https://drive.google.com/open?id=1svy2-4M4DwWxUov5U-TBouFrsfz_n74-</t>
  </si>
  <si>
    <t>Belfiori, M. E. (2021). Fossil fuel subsidies, the green paradox and the fiscal paradox. Economics of Energy &amp; Environmental Policy, 10(1), 183-193.</t>
  </si>
  <si>
    <t>Elisa is a Macroeconomist with interest in Climate Economics and Public Finance. She holds a Ph.D. in Economics from the University of Minnesota. Elisa is a full-time professor at Universidad Torcuato Di Tella.</t>
  </si>
  <si>
    <t>Removal of fossil fuel subsidies will increase carbon emissions in the short term, as well as causing immediate economic issues. Challenge to "short term benefits" argument.</t>
  </si>
  <si>
    <t>Fossil fuel subsidies amounted to about 0.4% of global GDP in 2015, and there is an
active call worldwide for eliminating them. The main argument in favor of removing
subsidies is that it will lead to a reduction in global carbon emissions and a decrease in
fiscal deficits. This paper shows that there are also some overlooked adverse effects of
eliminating the current fossil fuel subsidies. A version of the “Green Paradox” arises
when oil firms learn that fossil fuel subsidies will be removed. In fear that their assets
will lose value, firms have incentives to accelerate extraction before subsidies are eliminated. Thus, carbon emissions increase in the short run and the climate externality
worsens. Likewise, a “Fiscal paradox” arises because government outlays rise in the
short run when more extraction occurs. I show that these intertemporal effects reduce
the relative benefits from eliminating the existing subsidies and may actually make a
fossil fuel subsidy reform counterproductive.</t>
  </si>
  <si>
    <t>Saur WWU</t>
  </si>
  <si>
    <t>https://drive.google.com/open?id=1At1Hb4rNGdvJ6rS_HEVvJhY01yWykmwF</t>
  </si>
  <si>
    <t>Gross, S. (2023). Reducing US oil demand, not production, is the way forward for the climate. Brookings Institution.</t>
  </si>
  <si>
    <t>Samantha Gross Director - Energy Security and Climate Initiative, Fellow - Foreign Policy, Energy Security and Climate Initiative</t>
  </si>
  <si>
    <t>Argues that only decreasing demand for fossil fuels can save the climate and provides grounds for a CP, also contributes to neg arguments like offshoring</t>
  </si>
  <si>
    <t>https://drive.google.com/open?id=1Q_60OaCRNIshmx_rkgKHPKIXO_4cWOjO</t>
  </si>
  <si>
    <t>Brauers, H. (2022). Natural gas as a barrier to sustainability transitions? A systematic mapping of the risks and challenges. Energy Research &amp; Social Science Volume 89, July 2022, 102538</t>
  </si>
  <si>
    <t>Europa-Universität Flensburg, Economics of Sustainable Energy System Transition, Munketoft 3, 24937 Flensburg, Germany</t>
  </si>
  <si>
    <t>Natural Gas DA</t>
  </si>
  <si>
    <t>Answers natural gas DA by doing a meta analysis of the negative effects of natural gas and refutes it being a transition fuel</t>
  </si>
  <si>
    <t>Research has shown that natural gas (NG) has a significant negative impact on the climate. The role of NG in future global energy systems is highly controversial. Due to the greenhouse gas emissions associated with NG and the potential delay of low-carbon technologies, this energy source could represent a barrier rather than a solution to successful sustainability transitions. However, it appears that very little existing research covers NG-related risks for energy transitions. This paper covers a systematic mapping of the academic sustainability transitions literature, compiling existing evidence on the potential risks and adverse effects of using NG. Methane emissions in particular pose large climate risks, while the main barriers to sustainability transitions caused by NG include a crowding-out effect of low-carbon technologies, stranded assets, infrastructure lock-in, and behavioural lock-ins. The resulting political challenges include achieving climate mitigation targets, dealing with opposition to NG reduction, and addressing discursive lock-ins. The studies cited here highlight the fact that the potential of NG to reduce greenhouse gases is small, and that climate targets cannot be achieved via NG use in the long term.</t>
  </si>
  <si>
    <t>https://drive.google.com/open?id=1FpDQYIXc2EV_YURui96QM7NL3nFpCyL3</t>
  </si>
  <si>
    <t xml:space="preserve">Chyong, C. K. and Shahabuddin, M. (2024). Securing Europe’s Net Zero Path with Flexible LNG. Centre on Regulation in Europe, 1-76. </t>
  </si>
  <si>
    <t xml:space="preserve">Chi Kong Chyong is an external associate at the Center on Global Energy Policy at Columbia University. He is an applied energy economist and policy analyst with a strong background and more than 15 years of experience in applications of economics and operational research methods to energy and climate policy questions. Muntasir Shahabuddin is chemical engineer at the Worchester Polytechnic Institute. </t>
  </si>
  <si>
    <t>LNG DA</t>
  </si>
  <si>
    <t>Aff answers to the Europe war scenario. It makes the argument that LNG consumption in Europe is going to inevitably decline.</t>
  </si>
  <si>
    <t>https://drive.google.com/open?id=15V3mma2qRWzwLrra8p7hqOewmpN4h9sf</t>
  </si>
  <si>
    <t>Gürsan, C. &amp; de Gooyert, V. (2021). The systemic impact of a transition fuel: Does natural gas help or hinder the energy transition? Renewable and Sustainable Energy Reviews, 138(2021), 110552</t>
  </si>
  <si>
    <t>Institute for Management Research, Netherlands</t>
  </si>
  <si>
    <t xml:space="preserve">Natural gas DA </t>
  </si>
  <si>
    <t>Describes the conditions under which natural gas can and cannot serve as a bridge fuel to a renewables future</t>
  </si>
  <si>
    <t>In the Paris Agreement, many nations set ambitious global goals to stabilize and reduce carbon emissions to mitigate climate change. A large share of these emissions is caused by electricity production. Scientists have been debating the viability of using natural gas as a transition fuel while renewable energies mature technologically and economically. Although natural gas might help the energy transition by reducing emissions compared to coal, there are other long-term implications of investing in natural gas which can work against reaching climate goals. One concern is that investments in natural gas might crowd out investments in renewable alternatives. This research reviews the literature on the role of natural gas in reducing carbon emissions to mitigate climate change and to bridge between coal and renewable technologies. We advance the debate by laying out how various positive and negative effects of natural gas interrelate. Our research warns that natural gas’ negative delayed and global effects can easily outweigh the positive immediate and local effects unless precautions are taken. Existing studies agree that natural gas helps avoid greenhouse gas emissions in the short term, while unintended long term effects might also hinder the transition into renewables. Our review helps to inform the policymaking process by reviewing the systemic effects of using natural gas as a transition fuel and suggests policy actions to avoid the negative long term consequences</t>
  </si>
  <si>
    <t>Jacobsen Oregon</t>
  </si>
  <si>
    <t>https://drive.google.com/open?id=1yKJjqYXEIwH89MZbA0T_CfBVJ1y8AjIz</t>
  </si>
  <si>
    <t>Achakulwisut, P., Erickson, P. &amp; Koplow, D. (2021). Effect of subsidies and regulatory exemptions on 2020–2030 oil and gas production and profits in the United States. Environmental Research Letters, 16(8), 084023. https://doi.org/10.1088/1748-9326/ac0a10</t>
  </si>
  <si>
    <t>Achakulwisut &amp; Erickson: Stockholm Environment Institute, Somerville, MA, USA; Koplow: Earth Track, Inc., Cambridge, MA, USA</t>
  </si>
  <si>
    <t>Natural gas DA</t>
  </si>
  <si>
    <t>Quantifies the impact of FFS on production and provides links for both sides, includes much needed details on FFS</t>
  </si>
  <si>
    <t>The United States has supported the development of its oil and gas industry since the early twentieth century. Despite repeated pledges to phase out 'inefficient' fossil fuel subsidies, US oil and gas production continues to be subsidized by billions of dollars each year. In this study, we quantify how 16 subsidies and regulatory exemptions individually and altogether affect the economics of US oil and gas production in 2020–2030 under different price and financial risk outlooks. We find that, at 2019 average market prices of oil and gas, the 16 subsidies could increase the average rates of return of yet-to-be-developed oil and gas fields by 55% and 68% over unsubsidized levels, respectively, with over 96% of subsidy value flowing to excess profits under a 10% hurdle rate. At lower 2020 prices, the subsidies could increase the average rates of return of new oil and gas fields by 63% and 78% over unsubsidized levels, respectively, with more than 60% of oil and gas resources being dependent on subsidies to be profitable under a 20% hurdle rate. Under all price scenarios analyzed, the highest-value subsidies include federal tax incentives that have existed since 1916, as well as less recognized forms of support such as cost exemptions related to well cleanup and hazardous waste management. Given that these results depend on our chosen definitions of what constitutes a subsidy and, in some cases, assumptions regarding what the unsubsidized practices should be, we also present results for selected subsets of subsidies. By showing which subsidies have the greatest effects in different producing regions of the country, our findings can help policymakers chart a schedule of targeted subsidy repeals and regulatory reforms that can contribute to reducing carbon dioxide emissions and achieving other sustainable development goals. Our results can also help inform how different choices about economic recovery measures in response to the COVID-19 pandemic can shape the US oil and gas industry in the years to come.</t>
  </si>
  <si>
    <t>https://drive.google.com/open?id=12klb4_xE_kcEyrt_ay2wgAtHST_uDvtb</t>
  </si>
  <si>
    <t xml:space="preserve">Woollacott, J. (2020). A bridge too far? The role of natural gas electricity generation in US climate policy. Energy Policy, 147, 1-10. </t>
  </si>
  <si>
    <t xml:space="preserve">Jared Woollacott is a chief economist at the U.S. Energy Information Administration. He has been an economist studying energy systems and the environment for over 20 years. </t>
  </si>
  <si>
    <t>Says it’s a bad bridge fuel but a carbon tax/price would wreck the industry.</t>
  </si>
  <si>
    <t>Natural gas has been promoted as a "bridge" fuel toward a low-carbon future by offering near-term emissions reductions at lower cost. Existing literature is inconclusive on the short-term emissions benefits of more abundant natural gas. The long-lived nature of natural gas infrastructure also threatens to lock in emissions levels well above longer-term targets. If natural gas can offer short-to-medium term benefits, how much of a bridge should we build? Using ARTIMAS, a foresighted computable general equilibrium model of the US economy, we interact scenarios developed by the EMF-34 study group related to abundant natural gas, low-cost renewables, and a carbon tax to examine the role of natural gas in a carbon-constrained future. We find that abundant natural gas alone does not have a 
significant impact on CO₂ emissions. We also find that, under a higher carbon tax, natural gas investment of approximately $10 billion per year declines to zero at a tax of about $40/ton and existing natural gas assets face significant risk of impairment. Last, the presence of abundant natural gas lowers the marginal welfare cost of abating small amounts of CO2 but is likely to raise the cost of abatement levels consistent with common climate objectives. The integrated welfare costs of climate policy depend on how much abatement we must undertake.</t>
  </si>
  <si>
    <t>https://drive.google.com/open?id=1-zJuwqyRP6su0_Mvpnp7i4k_uJkfMb4N</t>
  </si>
  <si>
    <t>Bergmann, M., McGeady, C., Svendsen, O., Zacarias, M., &amp; Urbasos, I. (2024). The Response: Policy Interventions and Policy Costs. In Power Plays: Europe’s Response to the Energy Crisis (pp. 28–47). Center for Strategic and International Studies (CSIS). http://www.jstor.org/stable/resrep63070.7</t>
  </si>
  <si>
    <t>Max Bergmann is the director of the Europe, Russia, and Eurasia Program and the Stuart Center in Euro-Atlantic and Northern European Studies at the Center for Strategic and International Studies (CSIS). Cy McGeady is a fellow in the Energy Security and Climate Change Program at the Center for Strategic and International Studies (CSIS). Otto Svendsen is an associate fellow with the Europe, Russia, and Eurasia Program at the Center for Strategic and International Studies (CSIS), where he provides research and analysis on political, economic, and security developments in Europe. Mathias Zacarias is an associate fellow and energy transitions fellow in the Energy Security and Climate Change Program at the Center for Strategic and International Studies (CSIS).</t>
  </si>
  <si>
    <t xml:space="preserve">The article summarizes events in the European energy landscape following Feb. 2022 and the possible avenues to be explored to cover European energy demands. Points to the decreasing reliance on LNG in the region in the status quo and the flexibility of US exports in taking over the formerly Russian share of the market. </t>
  </si>
  <si>
    <t>NA</t>
  </si>
  <si>
    <t>Mironova UO</t>
  </si>
  <si>
    <t>https://drive.google.com/open?id=15KrKDYrRGwwFYcCFIYwPR5A-0AG1lE88</t>
  </si>
  <si>
    <t>Erickson, P &amp; Achakulwist, P. (2021). How subsidies aided the US shale oil and gas boom, SEI Report, June 2021</t>
  </si>
  <si>
    <t>Stockholm Environment Institute</t>
  </si>
  <si>
    <t>Subsidies created the fracking natural gas boom</t>
  </si>
  <si>
    <t>• This study provides one of the first estimates of the extent to which federal government policy– in the form of three tax incentives – increased the expected value of investments in new, unconventional oil and gas developments in the US over the last two decades. Expected value was calculated as the estimated net present value at the time of the investment decision.
• Two tax incentives alone – the expensing of intangible drilling costs and percentage depletion provisions – increased the expected value of new oil and gas projects by billions of dollars in most years, and over $20 billion in some high-price years. This translates to a median increase in expected value of $4 per barrel of oil equivalent or more across projects in such high-price years (2008 and 2010-2014).
• These two subsidies added substantial value to new unconventional oil and gas projects
considered in the Bakken formation in 2005-2006, the Appalachian and Haynesville regions in 2008, the Eagle Ford play in 2009-2010, and the Permian basin in 2011-2015, thereby helping to spur and sustain the US shale boom over the last two decades.</t>
  </si>
  <si>
    <t>https://drive.google.com/open?id=1h-gdW4z8B2Ae41RBKi6SXJwJK8nYpARF</t>
  </si>
  <si>
    <t>Wu, K., Paranjothi, G., Milford, J.B. &amp; Kreith, F. (2016). Transition to sustainability with natural gas from fracking, Sustainable Energy Technologies and Assessments, 14(2016), 26-34</t>
  </si>
  <si>
    <t>All: Department of Mechanical Engineering, University of Colorado Boulder, Boulder, CO 80309, United States</t>
  </si>
  <si>
    <t>Data driven research that shows a with natural gas scenario is better for the climate than without, builds links and uniqueness for the DA</t>
  </si>
  <si>
    <t>This paper analyzes the energy requirements and cost of constructing a renewable energy system with the excess energy available from natural gas obtained by hydraulic fracturing. Using U.S. Energy Information Administration estimates of the future availability of natural gas and estimates from the literature of the energy required to build a wind power and photovoltaic (PV) electricity generation system, we develop a scenario for constructing a sustainable electricity system for the United States. A preliminary analysis is made of the cost of the renewable system. Net reductions in emissions of greenhouse gases and oxides of nitrogen are also estimated. The analysis suggests that it would be possible to build a sustainable electricity system from the excess natural gas from fracking in less than 30 years. After that, the energy produced from the renewable system is sufficient to replace obsolete equipment and construct new generation technology as required by growth in demand. Even after accounting for the emissions associated with its construction and operation, the sustainable system would reduce greenhouse gas (GHG) and nitrogen oxides emissions compared to continued use of a fossil fuel system.</t>
  </si>
  <si>
    <t>https://drive.google.com/open?id=1q_b7hkTagiWUuGwWbXKARPhAvlpxp83e</t>
  </si>
  <si>
    <t>Zakaria, A. (2019). U.S. Energy Dominance: from Whale Oil to Shale; How the New U.S. Energy Doctrine will Change the World. IAEE Energy Forum, 17-19</t>
  </si>
  <si>
    <t>Amro Zakaria is a co-founder and Managing Director of Market Trader Academy USA. He is an expert in the financial service industry with over 16 years of global financial markets experience. Warming Defense</t>
  </si>
  <si>
    <t>Existential impact to the Europe War scenario for the DA</t>
  </si>
  <si>
    <t>https://drive.google.com/open?id=1SwP8MreBIurJzXhRTl4mkg5cA6XcAtuX</t>
  </si>
  <si>
    <t>McCown, B. (March 2024). Effective US Energy Policy Could Strengthen International Security. Hudson Institute, 1-8</t>
  </si>
  <si>
    <t xml:space="preserve">Brigham McCown is a senior fellow and director of the Initiative on American Energy Security at Hudson Institute. His research specialty is in domestic and foreign policy energy security, arctic energy policy, and political science. </t>
  </si>
  <si>
    <t>The internal link article to the DA, discusses why LNG is necessary for hegemony and security.</t>
  </si>
  <si>
    <t>https://drive.google.com/open?id=1KpFJn6VMPLWj51nQdnAXmx4xl6yiiEOf</t>
  </si>
  <si>
    <r>
      <rPr/>
      <t xml:space="preserve">Blanford, G. (January 2021). “How does a carbon price impact electricity prices?”, EPRI, </t>
    </r>
    <r>
      <rPr>
        <color rgb="FF1155CC"/>
        <u/>
      </rPr>
      <t>https://eea.epri.com/pdf/Back-Pocket-Insights/P201_Back_Pocket_Insights_Electricity_Carbon_Prices_Final.pdf</t>
    </r>
  </si>
  <si>
    <t>Geoffrey Blanford is a leading expert on integrated assessment and energy economy modeling, principal technical executive at the Electric Power Research Institute</t>
  </si>
  <si>
    <t>Carbon Bubble DA</t>
  </si>
  <si>
    <t>Carbon pricing solves collapse of the fossil fuel industry because investors will move towards CP technology due to financial incentive, offense for the carbon bubble DA</t>
  </si>
  <si>
    <t>https://drive.google.com/open?id=1LtVb5StQBOZSj6eTAHvauqsoRLqbTSML</t>
  </si>
  <si>
    <t>Goudarzi, L. &amp; Wood, F. (2017). "The Impacts of Restricting Fossil Fuel Energy Production", https://www.api.org/-/media/files/policy/american-energy/impacts-of-restricting-fossil-fuels-report.pdf</t>
  </si>
  <si>
    <t>Lessly Goudarzi is the founder and strategic adviser Onlocation, consulting firm specializing in energy and environmental policy analysis, Frances Wood is a Senior Director of Analysis of Onlocation, she is recognized expert in the National Energy Modeling System (NEMS) and has performed policy analyses using a variety of integrated energy models (including NEMS) to provide comprehensive representations of the energy market</t>
  </si>
  <si>
    <t xml:space="preserve">Uses modeling to determine the economic impact of removing fossil fuel subsidies, and creating drastic changes to current us energy infrastructure, very specific on gdp &amp; job loss </t>
  </si>
  <si>
    <t>https://drive.google.com/open?id=1A_rY5yzJBVJmR94FX1yg5_t5gVB_DXSb</t>
  </si>
  <si>
    <t>Maavak, M. (2021). Horizon 2030: Will Emerging Risks Unravel Our Global Systems. Salus Journal – The Australian Journal for Law Enforcement, Security and Intelligence Professionals, 9(1), 2-8</t>
  </si>
  <si>
    <t>PhD in Risk Foresight from the Universiti Teknologi Malaysia, External Researcher (PLATBIDAFO) at the Kazimieras Simonavicius University, Expert and Regular Commentator on Risk-Related Geostrategic Issues at the Russian International Affairs Council</t>
  </si>
  <si>
    <t>economic decline leading to global instability, stresses that sectors are intertwined, economic stressors from gdp and job loss leading to geopolitical instability, examples of historical precedent</t>
  </si>
  <si>
    <t xml:space="preserve">Various scholars and institutions regard global social instability as the greatest threat facing this decade. The catalyst has been postulated to be a Second Great Depression which, in turn, will have profound implications for global security and national integrity. This paper, written from a broad systems perspective, illustrates how emerging risks are getting more complex and intertwined; blurring boundaries between the economic, environmental, geopolitical, societal and technological taxonomy used by the World Economic Forum for its annual global risk forecasts. Tight couplings in our global systems have also enabled risks accrued in one area to snowball into a full-blown crisis elsewhere. The COVID-19 pandemic and its socioeconomic fallouts exemplify this systemic chain-reaction. Onceinexorable forces of globalization are rupturing as the current global system can no longer be sustained due to poor governance and runaway wealth fractionation. The coronavirus pandemic is also enabling Big Tech to expropriate the levers of governments and mass communications worldwide. This paper concludes by highlighting how this development poses a dilemma for security professionals. </t>
  </si>
  <si>
    <t>https://drive.google.com/open?id=1te4UZ77P0ET3zQMWcK4_mgXtL4Wtg6c1</t>
  </si>
  <si>
    <t>Beckman, K. (10 September 2018). "DNV GL’s Energy Transition Outlook shows massive shift of investment from oil and gas into power lines." Energy Central, https://energypost.eu/dnv-gls-energy-transition-outlook-shows-massive-shift-of-investment-from-oil-and-gas-into-power-lines/</t>
  </si>
  <si>
    <t>Co-Founder and Editor of Energy Post, a European Energy Newspaper,  energy journalist</t>
  </si>
  <si>
    <t>Uses models to discuss power line/electric transmission expansion, potential to create mass uncertainty with the fossil fuel industry and create stranded assets that inflate the carbon bubble</t>
  </si>
  <si>
    <t>https://drive.google.com/open?id=1YTyNOJ7_z7nN8MOZXBQ4YY6emHTl66LK</t>
  </si>
  <si>
    <t>Berlin, K. &amp; Willy, F. (24 August 2023). Transitioning to the clean energy grid: A deep dive into the levelized cost of electricity." https://www.atlanticcouncil.org/in-depth-research-reports/issue-brief/transitioning-to-the-clean-energy-grid-a-deep-dive-into-the-levelized-cost-of-electricity/</t>
  </si>
  <si>
    <t>Ken Berlin is a Senior Fellow at the Atlantic Council. Frank Willy is a Program Assistant at the Atlantic Council, both have extensive experience in energy policy research</t>
  </si>
  <si>
    <t>uses profitability metrics to determine how plan would be perceived by the fossil fuel industry, expense of building mass electric transmission accelerates the bubble bc it leaves assets stranded</t>
  </si>
  <si>
    <t>https://drive.google.com/open?id=1gy0FQPeabBq-ml5PQ65lr2HoTYd8VEsm</t>
  </si>
  <si>
    <r>
      <rPr/>
      <t xml:space="preserve">Walt, S. (13 May 2020). a Global Depression Trigger Another World War?”, Foreign Policy, </t>
    </r>
    <r>
      <rPr>
        <color rgb="FF1155CC"/>
        <u/>
      </rPr>
      <t>https://foreignpolicy.com/2020/05/13/coronavirus-pandemic-depression-economy-world-war/</t>
    </r>
  </si>
  <si>
    <t>a columnist at Foreign Policy and the Robert and Renée Belfer professor of international relations at Harvard University.</t>
  </si>
  <si>
    <t xml:space="preserve">no correlation to war and economic decline, provides historical examples, no economic gain from war for the country's gdp, impact defense to Carbon bubble </t>
  </si>
  <si>
    <t>https://drive.google.com/open?id=1kKQvejM0dobUL4RUTyUdA_kRa6XR3dsk</t>
  </si>
  <si>
    <r>
      <rPr/>
      <t xml:space="preserve">Gould, T. (25 October 2018). "Economic diversification for oil and gas exporters doesn’t mean leaving energy behind – Analysis", IEA, </t>
    </r>
    <r>
      <rPr>
        <color rgb="FF1155CC"/>
        <u/>
      </rPr>
      <t>https://www.iea.org/commentaries/economic-diversification-for-oil-and-gas-exporters-doesnt-mean-leaving-energy-behind</t>
    </r>
  </si>
  <si>
    <t>Chief energy economist at the International Energy Agency, worked in energy policy for 15+ years, specializing in European energy policy research</t>
  </si>
  <si>
    <t xml:space="preserve">Carbon Bubble DA </t>
  </si>
  <si>
    <t>Link turn- transition to clean energy makes oil and gas companies more sustainable because they can slowly be phased out, assets will not be completely stranded and still of use, other countries prove</t>
  </si>
  <si>
    <t>https://drive.google.com/open?id=1JuTMHwM4c1KBDKEIoo3iChroTHRy-P3a</t>
  </si>
  <si>
    <t>Sen, S., &amp; Von Schickfus, M. T. (2020). Climate policy, stranded assets, and investors’ expectations. Journal of Environmental Economics and Management, 100, 102277.</t>
  </si>
  <si>
    <t xml:space="preserve">Sen is a junior fellow at ifo Institute - Leibniz Institute for Economic Research at the University of Munich, Von Schickfus is a climate economist at ifo Institute - Leibniz Institute for Economic Research at the University of Munich </t>
  </si>
  <si>
    <t>Carbon Bubble</t>
  </si>
  <si>
    <t>Provides support that fossil fuel assets at risk of being stranded due to climate mitigation policies and argues politicians will bail out these assets at great expense</t>
  </si>
  <si>
    <t>Climate policies to keep global warming below 2°C might render some of the world's fossil fuels and related infrastructure worthless prior to the end of their economic life time. Therefore, some energy-sector assets are at risk of becoming stranded. This paper investigates whether and how investors price in this risk of asset stranding. We exploit the gradual development of a German climate policy proposal aimed at reducing electricity production from coal and analyze its effect on the valuation of energy utilities. We find that investors take stranded asset risk into consideration, but that they also expect a financial compensation for their stranded assets.</t>
  </si>
  <si>
    <t>Nagy Oregon</t>
  </si>
  <si>
    <t>https://drive.google.com/open?id=1-itfCbE0Gdc4CrOioZjpZxP_uABaRdZC</t>
  </si>
  <si>
    <t>Skinner, C. (2021). Central Banks and Climate Change</t>
  </si>
  <si>
    <t>Assistant Professor, The Wharton School of the University of Pennsylvania</t>
  </si>
  <si>
    <t>Carbon Bubble DA/Green Finance CP</t>
  </si>
  <si>
    <t>Provides answers to the Green Finance CP. Argues that the CP would have limited legal authority to act and there are associated disadvantages to politicizing the Federal Reserve.</t>
  </si>
  <si>
    <t>Central banks are increasingly called upon to address climate change. Proposals for central bank action on climate change range from programs of “green” quantitative easing to increases in risk-based capital requirements meant to deter banks from lending to climate-unfriendly business. Politicians and academics alike have urged climate risk as both macroeconomic and financial stability risk. Relative to counterparts abroad, the U.S. central bank—the Federal Reserve—has been more measured in its response.
This Article offers a legal explanation why. It urges that, despite the substantive importance of climate change, the U.S. Federal Reserve presently has relatively limited legal authority to address that problem head-on. Drawing on insights from corporate finance and macroeconomics, the Article constructs a legal framework—stitching together a variety of Fed laws, regulations, and precedents of practice—to discern why many aspects of climate change sit outside the Fed’s legal remit today.
Ultimately, the Article tackles one of the most pressing rule-of-law questions facing the Fed today: What are the limits of the Fed’s mandates to address climate change and how far can the Fed press beyond those mandates to make the economy greener? In doing so, the Article prompts reflection on the ideal role of the Fed vis-à-vis the fiscal authority of the Treasury, the political actors in Congress, and the Chief Executive.</t>
  </si>
  <si>
    <t>Leyba UO.</t>
  </si>
  <si>
    <t>https://drive.google.com/open?id=1SOj-jJOEaCk4T3U1hMzykaldVn_jlcU4</t>
  </si>
  <si>
    <t>Abiry, R., Ferdinandusse, M., Ludwig, A., &amp; Nerlich, C. (2022). Climate change mitigation: How effective is green quantitative easing? (No. 2701). ECB Working Paper.</t>
  </si>
  <si>
    <t xml:space="preserve"> Abiry - Postdoc in Economics, Goethe University; Ferdinandusse - lead economist in the Fiscal Policies Division of the European Central Bank; Ludwig - Professor of Economics, Goethe University; Nerlich - senior lead economist in the Fiscal Policies Division of the European Central Bank</t>
  </si>
  <si>
    <t>Green Finance CP</t>
  </si>
  <si>
    <t xml:space="preserve">Argues green quantitative easing is not effective at addressing climate change; carbon tax is more effective than green quantitative easing. </t>
  </si>
  <si>
    <t>We develop a two-sector incomplete markets integrated assessment model to analyze
the effectiveness of green quantitative easing (QE) in complementing fiscal policies for
climate change mitigation. We model green QE through an outstanding stock of private
assets held by a monetary authority and its portfolio allocation between a clean and a dirty
sector of production. Green QE leads to a partial crowding out of private capital in the
green sector and to a modest reduction of the global temperature by 0.04 degrees of Celsius
until 2100. A moderate global carbon tax of 50 USD per tonne of carbon is 4 times more
effective.</t>
  </si>
  <si>
    <t>https://drive.google.com/open?id=14_2DWS0Hr8bmoZm-1V3JRIuJTOtifWoJ</t>
  </si>
  <si>
    <t>Cullen, J. (2023). Central Banks and Climate Change: Mission Impossible?. Journal of Financial Regulation, Volume 9, Issue 2, October 2023, Pages 174–209</t>
  </si>
  <si>
    <t>Cullen: Head of School of Law and Criminal Justice and Director of Business School, Edge Hill University. Law, PhD, University of Manchester.</t>
  </si>
  <si>
    <t>Point by point refutation of green finance CP including obstacles, casting doubt on solvency, and establishing disadvantages like wasting political and economic resources</t>
  </si>
  <si>
    <t>There is growing presumption that central banks have a significant role to play in addressing environmental challenges, especially climate change. This article explains, on the basis of both theoretical and empirical evidence, that attempting to use existing central bank tools and powers to tackle climate change will prove inadequate to tackle the issue(s) at hand. From a positivist perspective at least—and contrary to the claims made in the literature—the tools that central banks possess are insufficient to make any meaningful contribution to emissions reductions and prevent global heating. This is because many of the proposals made by academics, regulators, and legislators to expand the central bank toolkit to equip banks to tackle climate change suffer from deep conceptual and practical drawbacks when applied in this domain. These critical weaknesses mean that the policy prescriptions that flow from them will be of limited impact; this would likely be the case even if central banks were to obviate their mandates more explicitly and attempt to use such tools to address climate change directly. In so doing, they waste valuable political and economic capital that might be usefully deployed in tackling climate change. The obstacles to using these tools are not political or legal; they are inherent in their operation.</t>
  </si>
  <si>
    <t>https://drive.google.com/open?id=1EzqqZXLijbLjtmS_O9hb3qYQhh9ugFtB</t>
  </si>
  <si>
    <t>Zahidi, S. (10 January 2024). The Global Risks Report 2024, 19th Edition, Insight Report. World Economic Forum. https://info.marsh.com/l/395202/2024-01-02/cl9mcq/395202/1704819094TNmMf0kN/World_Economic_Forum_Global_Risks_Report_2024.pdf</t>
  </si>
  <si>
    <t>Managing Director at the World Economic Forum, heading the Centre for the New Economy and Society and the Global Communications Group</t>
  </si>
  <si>
    <t>Carbon Bubble DA, but can apply to other parts of the library</t>
  </si>
  <si>
    <t>pages 14-39 discuss economic impacts and how weakened economic systems lead to war. There are other impacts in here that can be applied to other parts of the library and it is relevant to the current state of the world since it is from 2024</t>
  </si>
  <si>
    <t>https://drive.google.com/open?id=1KxFQp1D9N5_kRJdL6S43KmIwkmjm_Fui</t>
  </si>
  <si>
    <t>Schoenmaker, D. (2 April 2016). "Financial risks and opportunities in the time of climate change". Bruegal Policy Brief, Issue 2016</t>
  </si>
  <si>
    <t>Senior Fellow at Bruegel and Professor of Banking and Finance at Rotterdam School of Management, Erasmus University Rotterdam</t>
  </si>
  <si>
    <t>Huge changes to energy policy in the United States, particularly a transition to a low-carbon economy, could lead to economic shocks and wreck the entire financial system. Link to the Carbon Bubble DA</t>
  </si>
  <si>
    <t>Real economic imbalances can lead to financial crisis. The current
unsustainable use of our environment is such an imbalance. Financial shocks
can be triggered by either intensified environmental policies, cleantech breakthroughs (both resulting in the stranding of unsustainable assets), or the
economic costs of crossing ecological boundaries (eg floods and droughts due
to climate change). Financial supervisors and risk managers have so far paid
little attention to this ecological dimension, allowing systemic financial imbalances resulting from ecological pressures to build up. Inattention also leads to
missed economic and financial opportunities from the sustainability transition.</t>
  </si>
  <si>
    <t>https://drive.google.com/open?id=1f-OYoCvfKVboTgbyfV9-T__P9DVA6Bag</t>
  </si>
  <si>
    <t>Jason Hickel &amp; Giorgos Kallis (2019): Is Green Growth Possible?, New Political Economy, DOI: 10.1080/13563467.2019.1598964</t>
  </si>
  <si>
    <t>Jason Hickel is an anthropologist and professor at the Autonomous University of Barcelona. Giorgos Kallis is an ecological economist from Greece. He is an ICREA Research Professor at ICTA - Universitat Autònoma de Barcelona, where he teaches political ecology. He is one of the principal advocates of the theory of degrowth.</t>
  </si>
  <si>
    <t>develops the carbon bubble disadvantage and neg grounds that lowering FF use does not lead to sufficient decarbonization</t>
  </si>
  <si>
    <t xml:space="preserve">This article develops the idea that green growth is likely not possible given the inability to decouple GDP growth from resource use and carbon emissions. It also claims that even if decoupling was possible, it wouldn't happen fast enough for there to be prevention of global warming over 2 degrees celsius. It gives alternative strategies such as specific degrowth plans and other theoretical solutions. </t>
  </si>
  <si>
    <t>The notion of green growth has emerged as a dominant policy response to climate change and ecological breakdown. Green growth theory asserts that continued economic expansion is compatible with our planet’s ecology, as technological change and substitution will allow us to absolutely decouple GDP growth from resource use and carbon emissions. This claim is now assumed in national and international policy, including in the Sustainable Development Goals. But empirical evidence on resource use and carbon emissions does not support green growth theory. Examining relevant studies on historical trends and model-based projections, we find that: (1) there is no empirical evidence that absolute decoupling from resource use can be achieved on a global scale against a background of continued economic growth, and (2) absolute decoupling from carbon emissions is highly unlikely to be achieved at a rate rapid enough to prevent global warming over 1.5°C or 2°C, even under optimistic policy conditions. We conclude that green growth is likely to be a misguided objective, and that policymakers need to look toward alternative strategies.</t>
  </si>
  <si>
    <t>Casey WWU</t>
  </si>
  <si>
    <t>https://drive.google.com/open?id=1ZSIGTTtzb67cWaIc5_ekIf-7v_3uRBj3</t>
  </si>
  <si>
    <t>Carattini, Stefano and Sen, Suphi, Carbon Taxes and Stranded Assets: Evidence from Washington State (2019). CESifo Working Paper No. 7785.</t>
  </si>
  <si>
    <t>Caratini is at Georgia State University and Sen is at the Leibniz Institute for Economic Research at the University of Munich</t>
  </si>
  <si>
    <t>Provides links to the main aff areas in the topic</t>
  </si>
  <si>
    <t>The climate challenge requires ambitious climate policy. A sudden increase in carbon prices can
lead to major shocks to the stock market. Some assets will lose part of their value, others all of
it, and hence become “stranded”. If the markets are not ready to absorb the shock, a financial
crisis could follow. How well investors anticipate, and thus how large these shocks may be, is
an empirical question. We analyze stock market reactions to the rejection of two carbon tax
initiatives by voters in Washington state. We build proper counterfactuals for Washington state
firms and find that these modest policy proposals with limited jurisdiction caused substantial
readjustments on the stock market, especially for carbon-intensive stocks. Our results reinforce
concerns about “stranded assets” and the risk of financial contagion. Our policy implications
support the inclusion of transition risks in macroprudential policymaking and carbon disclosure
and climate stress tests as the main policy responses.</t>
  </si>
  <si>
    <t>https://drive.google.com/open?id=1cZXt1cWkk8o1iQPu8b2qZtNnxDZBk4s4</t>
  </si>
  <si>
    <t>Regunberg, A. (2023) The Federal Reserve's Responsibilities in a Warming World: A Normative Case and Strategic Primer for Fed Action on Climate Change. Ecology Law Quarterly, Vol 50:181.</t>
  </si>
  <si>
    <t>Law clerk to the Honorable Mary S. McElroy, United States District Court for the District of Rhode Island; incoming Senior Climate Policy Advocate at Public Citizen.</t>
  </si>
  <si>
    <t>Provides the main solvency advocate for the green finance counterplan.</t>
  </si>
  <si>
    <t>According to one study, by the year 2100, the cost of unchecked climate
change could be as high as $551 trillion. This is broader money than currently
exists on earth, yet to date the Federal Reserve has failed to take any meaningful
action on climate. This Article argues that the Fed not only has the authority to
insulate our financial system from the contagious collapse of a dead-end fossil
fuel industry, but also that it cannot act in accordance with its congressional
mandates and statutory obligations without doing so. Through legal and
historical analysis, this Article examines how the structure of Fed
independence—far from requiring the Fed to eschew climate policy, as many
have claimed—militates for the Fed to take a leadership role in protecting the
U.S. economy from the ravages of climate change. Finally, after describing the
regulatory and monetary-policy strategies the Fed could utilize to address
climate threats, this Article analyzes the resistance of these tools to judicial
review. This review results in the somewhat paradoxical strategic
recommendation that the Fed’s use of its more sweeping monetary powers may,
in fact, be better able to withstand challenge than the deployment of its arguably
less controversial regulatory tools.</t>
  </si>
  <si>
    <t>https://drive.google.com/open?id=1LXt_nunC5PJtZ7dXMeQ3XaUy4dyYS5XI</t>
  </si>
  <si>
    <t>Krane, J., &amp; Idel, R. (2021). More transitions, less risk: How renewable energy reduces risks from mining, trade and political dependence. Energy Research &amp; Social Science, 82, 102311</t>
  </si>
  <si>
    <t>Baker Institute Center for Energy Studies, Houston, Texas, USA</t>
  </si>
  <si>
    <t>affirmative answer to a dirty green mining disadvantage</t>
  </si>
  <si>
    <t>This article argues that a green energy transition will drastically reduce mining and material requirements. It also makes an argument for the relative energy efficiency of mining for renewables versus mining for fossil fuels.</t>
  </si>
  <si>
    <t>The transition from fossil fuels to renewable energy systems involves enormous decreases in materials, mining, and political risk. Since renewable systems need no fuel, they depend on trade only for the acquisition of materials and components during construction. Once the system is operating, no trade is required to sustain it. Therefore renewable energy production is not exposed to the political risks that plague fossil fuel production and shipments, such as interdiction, embargo, civil war, labor actions, and other disruptions. Despite such benefits, an emerging perspective in the US public discourse makes the opposite case, arguing that a buildout of renewable electricity would exacerbate supply risks, mining intensity, and import dependence. This paper’s findings challenge such assertions. We demonstrate that installing just 1 GW of wind capacity to replace coal on a grid like that in Texas reduces total mining by 25 million tonnes over 20 years. Even if the world increased 12-fold the annual global production of all rare earths, lithium, cobalt, and even copper, the metals produced would comprise just 3% of 2020 world coal production. Over two decades, five times more power would be produced by mining an equivalent amount for wind rather than coal. Since transition materials requirements are so comparatively small, reduced international trade volumes mean a large measure of political risk falls away. Current practices for securing energy systems that require constant fuel deliveries thus offer little relevance for renewables.</t>
  </si>
  <si>
    <t>Roe Gonzaga</t>
  </si>
  <si>
    <t>https://drive.google.com/open?id=1XM2lvDCyhE42o5o5m8WGMDnioMjh_iFH</t>
  </si>
  <si>
    <t>Kime, S., Jacome, V., Pellow, D., &amp; Deshmukh, R. (2023). Evaluating equity and justice in low-carbon energy transitions. Environmental Research Letters, 18. https://doi.org/10.1088/1748-9326/ad08f8.</t>
  </si>
  <si>
    <t>It comes from a publication on environmental issues</t>
  </si>
  <si>
    <t>Shift to Renewables</t>
  </si>
  <si>
    <t>Mixed article with arguments for why Renewable transition is bad</t>
  </si>
  <si>
    <t>https://drive.google.com/open?id=1QQdG5loTr9Rzjah__PpUd29Kfr61VrEH</t>
  </si>
  <si>
    <t xml:space="preserve">Contreras, J. Ruiz, A. Campos-Celador, A. Fjellheim, E. (2023) Energy Colonialism: A category to analyse the corporate energy transition in the global south and north, Land, Volume 12, Issue 6, https://doi.org/10.3390/land12061241  </t>
  </si>
  <si>
    <t xml:space="preserve">Josefa Sánchez Contreras is a researcher in the Department of Sociology at the University of Granada with an MSc in Latin American Studies at the National Autonomous University of Mexico.Alberto Matarán Ruiz is a Professor of Urban and Spatial Planning at the University of Granada with a Ph.D. in Environmental Sciences obtained in 2005. Álvaro Campos Celador is an Associate Professor and Researcher at the University of the Basque Country (UPV-EHU). He graduated as a Mechanical Engineer in 2008. Eva Maria Fjellheim is a southern Saami researcher at the Arctic University of Norway. Her research focuses on indigenous peoples’ rights, with an emphasis on the study of “green colonialism”: a land-grabbing strategy legitimized by hegemonic climate change policies that perpetuate relations of domination and coloniality.   </t>
  </si>
  <si>
    <t>REM Disad/Setcol K</t>
  </si>
  <si>
    <t xml:space="preserve">The article argues against the possibility of a just energy transition, and gives case study examples of colonial exploitation in the search for greener energy. This is an extension of the REM arguments, that seeks to add further depth to the argument and tie it with existing literature on colonialism. </t>
  </si>
  <si>
    <t>This article aims to define the category of energy colonialism in order to analyse the conflicts
that are arising due to the deployment of renewable energy megaprojects in the Global South and in
the peripheries of the Global North. First, the limits of the corporate energy transition are questioned,
and based on an exhaustive bibliographic review, the category of energy colonialism is formulated
along with six dimensions that characterise it: geopolitical; economic and financial inequalities; power,
violence, and decision making; land grabbing and dispossession; impacts on territories and commons;
resistance and socio-territorial conflicts. Based on this framework, we analyse and juxtapose different
expressions of energy colonialism in four case studies; the isthmus of Tehuantepec (Oaxaca, Mexico),
the territories of Western Sahara occupied by Morocco, the Saami territory in Norway, and the rural
territories of Spain. The results from this study allow us to conclude that energy colonialism is a
useful concept for understanding and critiquing the effects of the corporate energy transition and
establishing a base for grassroots and decolonial alternatives in both the Global North and South.</t>
  </si>
  <si>
    <t>King WWU</t>
  </si>
  <si>
    <t>https://drive.google.com/open?id=1vBh_4_MbeBECukbo_AoMij-zYss8x8zk</t>
  </si>
  <si>
    <t>Noisecat, Julian Brave, 2017) When the Indians Defeat the Cowboys</t>
  </si>
  <si>
    <t>Julian Brave NoiseCat is an enrolled member of the Canim Lake Band Tsq'escen in British Columbia and a graduate of Columbia University and the University of Oxford.</t>
  </si>
  <si>
    <t>Settler Colonialism K</t>
  </si>
  <si>
    <t>Great answer to the K about engaging in legalism and systems</t>
  </si>
  <si>
    <t>Leyba</t>
  </si>
  <si>
    <t>https://drive.google.com/open?id=1Rpi5GCR3_4IuF2cGCXBNTciIatw-qjgY</t>
  </si>
  <si>
    <t xml:space="preserve">Tuck &amp; Yang (2012) Decolonization is not a metaphor </t>
  </si>
  <si>
    <t>Great authors on Decol. They speak for themselves</t>
  </si>
  <si>
    <t>Settler Colonialism</t>
  </si>
  <si>
    <t>Our goal in this article is to remind readers what is unsettling about decolonization. Decolonization brings about the repatriation of Indigenous land and life; it is not a metaphor for other things we want to do to improve our societies and schools</t>
  </si>
  <si>
    <t>https://drive.google.com/open?id=1m1bkcCwex77sTJfqkS264CaHJPikYNSx</t>
  </si>
  <si>
    <t>Svirsky, Marcelo 2016, Resistance is a structure not an event</t>
  </si>
  <si>
    <t>School of Humanities and Social Inquiry, University of Wollongong, Wollongong, NSW, Australia</t>
  </si>
  <si>
    <t>Answer to Tuck and Yang</t>
  </si>
  <si>
    <t>By looking into the case of Palestine, this article has two goals: the
first is to provide philosophical scaffolding to the theme of
resistance in settler colonial theory, and in so doing to argue that
resistance need to be regarded as part of the structure in settler
social formations. Secondly, the article rereads ‘the logic of
elimination’ upon which settler colonialism is founded in order to
suggest that as a settler colonial project Zionism historically
evolved via a process of ‘double elimination’ – of indigenous life
and of shared life. The aim of this article is then to fold the
second conclusion into the first: alongside with indigenous
resistance, shared life need be conceived as part of the structural
struggle against settler colonialism. The article has three sections.
In the first section, the state of the art in the field of settler
colonial studies is presented in order to identify strengths and
weaknesses. The second section offers a conceptualisation of the
idea/practice of resistance by drawing from Gilles Deleuze and
Félix Guattari’s works. The last section reframes the logic of
elimination concluding with a political vision that expands on the
notion of resistance.</t>
  </si>
  <si>
    <t>https://drive.google.com/open?id=1FMrC_V0HjnR8iN850vElSXT2AMKoT-rn</t>
  </si>
  <si>
    <t>Beaty, John (2024) The Impact of the Inflation Reduction Act on Energy Justice and The Impact of the Inflation Reduction Act on Energy Justice and Green Energy Development in Indian Country Green Energy Development in Indian Country</t>
  </si>
  <si>
    <t>J.D., The University of Iowa College of Law, 2023; B.A., Carleton College, 2019. John Beaty is a litigation associate at a large law firm in the Midwest where he works with energy industry and tribal clients.</t>
  </si>
  <si>
    <t>Great article about energy infrastructure and native tribes</t>
  </si>
  <si>
    <t xml:space="preserve">In the past two decades, many American Indian Tribes have been experimenting with generating power from renewable sources on reservations. The growth of tribal green energy is a positive step towards energy justice, but current projects are hampered by insufficient funding, jurisdictional confusion, lack of needed infrastructure, and a baroque permitting process that leaves necessary projects languishing. The recent omnibus spending bill, the Inflation Reduction Act (IRA) was trumped by Congress as the largest investment into tribal green energy ever. This Article critically analyzes the impact of the IRA on tribal energy. While the IRA represents a necessary move towards a more effective funding structure for tribal energy projects, it failed to address other barriers to tribal green energy development. The Article concludes by proposing steps Congress, States, and Tribes can take to improve upon the IRA.  </t>
  </si>
  <si>
    <t>https://drive.google.com/open?id=13LFQgg47KVT2pkWt3eb-8l_L358xM2jS</t>
  </si>
  <si>
    <t>Whyte, K. (2020). Too late for indigenous climate justice: Ecological and relational tipping points. Wiley Interdisciplinary Reviews: Climate Change, 11(1), e603.</t>
  </si>
  <si>
    <t>Kyle Whyte is a faculty member at the University of Michigan where he is George Willis Pack Professor in the School for Environment and Sustainability, University Diversity and Social Transformation Professor, and Professor of Philosophy in the College of Literature, Science, and the Arts. Kyle teaches in the SEAS environmental justice specialization. He is founding Faculty Director of the Tishman Center for Social Justice and the Environment, Principal Investigator of the Energy Equity Project, Faculty Associate of Native American Studies, and Senior Fellow in the Michigan Society of Fellows. His research addresses environmental justice, focusing on moral and political issues concerning climate policy and Indigenous peoples, the ethics of cooperative relationships between Indigenous peoples and science organizations, and problems of Indigenous justice in public and academic discussions of food sovereignty, environmental justice, and the anthropocene. He is an enrolled member of the Citizen Potawatomi Nation.</t>
  </si>
  <si>
    <t>This article adds several dimensions to the settler colonialism argument. For the negative, it establishes topic-relevant framing arguments, sequencing/priority arguments, and several link arguments specific to energy governance. For the affirmative, it offers impact calculus and and inevitably arguments about the K’s priority of addressing colonialism prior to climate mitigation.</t>
  </si>
  <si>
    <t xml:space="preserve">It may be too late to achieve environmental justice for some indigenous peoples, and other groups, in terms of avoiding dangerous climate change. People in the indigenous climate justice movement agree resolutely on the urgency of action to stop dangerous climate change. However, the qualities of relationships connecting indigenous peoples with other societies' governments, nongovernmental organizations, and corporations are not conducive to coordinated action that would avoid further injustice against indigenous peoples in the process of responding to climate change. The required qualities include, among others, consent, trust, accountability, and reciprocity. Indigenous traditions of climate change view the very topic of climate change as connected to these qualities, which are sometimes referred to as kin relationships. The entwinement of colonialism, capitalism, and industrialization failed to affirm or establish these qualities or kinship relationships across societies. While qualities like consent or reciprocity may be critical for taking coordinated action urgently and justly, they require a long time to establish or repair. A relational tipping point, in a certain respect, has already been crossed, before the ecological tipping point. The time it takes to address the passage of this relational tipping point may be too slow to generate the coordinated action to halt certain dangers related to climate change. While no possibilities for better futures should be left unconsidered, it's critical to center environmental justice in any analysis of whether it's too late to stop dangerous climate change. </t>
  </si>
  <si>
    <t>Cram WWU</t>
  </si>
  <si>
    <t>https://drive.google.com/open?id=14U0PkiLCA6c736YwznNxEYmKTPcy-YDs</t>
  </si>
  <si>
    <t>Franziska Müller. (2024). Energy Colonialism. Journal of Political Ecology, 31(1). https://doi.org/10.2458/jpe.5659</t>
  </si>
  <si>
    <t xml:space="preserve">Franziska Müller is a junior lecturer in political science at the University of Hamburg. </t>
  </si>
  <si>
    <t xml:space="preserve">This article provides a description of Energy Colonialism and multiple perspectives within the debate. It offers more links against the affirmative. </t>
  </si>
  <si>
    <t>Energy colonialism is an essential, yet scarcely theorized concept for understanding how past, present and future energy systems are shaped by colonial or neocolonial power dynamics, imaginaries, discourses, and practices. These perspectives are important for contemporary debates on energy transition processes, namely with regard to green finance flows, new green geopolitics, and energy governance. Energy colonialism becomes manifest as power over energy transition processes, as an epistemic force with regard to knowledge orders and knowledge transfer, but also as an intervention on an individual scale, affecting daily life and human-nature relations. Colonial continuities are pervading contemporary energy debates, for instance in the ‘run-up’ for green hydrogen produced the Global South to sustain economic growth in the Global North, in colonial imaginaries of terra nullius conceptions reproduced in energy partnerships, and not least in financial dependencies that stabilize the political economy of clean energy. Reconstructing how different understandings of energy colonialism entered political and academic debate, this article provides an account of its history of ideas and demonstrates how a lack of theoretical underpinning limits analytical rigor and activist work. To close this gap, I engage with the concept of coloniality in use, and suggest a more nuanced understanding of energy colonialism. A nine-field matrix demonstrates how energy colonialism becomes manifest on different levels of energy transitions and how the concept may serve as a multidimensional research strategy for critical social science research on energy transitions and modes of energy governance, energy infrastructures, and energy subjectivities.</t>
  </si>
  <si>
    <t xml:space="preserve">Wellman Gonzaga </t>
  </si>
  <si>
    <t>https://drive.google.com/open?id=1abeX2L4AVqo3963YQ77xnOafxuaGzP4N</t>
  </si>
  <si>
    <t>Schwartzman, D. (2022). A critique of degrowth: An ecosocialist perspective in the context of a global Green New Deal. Climate and Capitalism. January 5, 2022. https://climateandcapitalism.com/2022/01/05/a-critique-of-degrowth/</t>
  </si>
  <si>
    <t>Professor Emeritus at Howard University</t>
  </si>
  <si>
    <t>Degrowth</t>
  </si>
  <si>
    <t>Argues degrowth cannot and should not be implemented because it will never serve the interests of the global working class and ignores opportunities for a renewables transition.</t>
  </si>
  <si>
    <t>https://drive.google.com/open?id=1Uz5ygl7IBz9p-i84ISIavOx-nVWEb4nq</t>
  </si>
  <si>
    <t>Buchs, M. Koch, M. (2018). Challenges for the degrowth transition: The debate about wellbeing. Futures, Volume 105, 155-165</t>
  </si>
  <si>
    <t>Buchs: Sustainability Research Institute, School of Earth and Environment, University of Leeds. Koch: b Faculty of Social Sciences, Socialhögskolan, Lund University.</t>
  </si>
  <si>
    <t>Degrowth and K</t>
  </si>
  <si>
    <t>While supportive of degrowth, this article discusses the real difficulties with implementation. It is useful for an implementation debate from the degrowth and green growth perspective</t>
  </si>
  <si>
    <t>Degrowth scholars and activists have convincingly argued that degrowth in developed nations will need to be part of a global effort to tackle climate change, and to preserve the conditions for future generations’ basic needs satisfaction. However, the barriers to building a broader degrowth movement appear to be very entrenched at present. To improve the political feasibility of degrowth it is important to better understand these structural obstacles and develop arguments and strategies to address them. To contribute to the degrowth debate we focus in this paper on current generations in rich countries and their concerns about possible short- to medium term wellbeing outcomes of degrowth. In particular, we highlight the ‘growth lock-in’ of current societies and how a transition away from this model might therefore affect wellbeing. We also argue that taking the basic human needs framework as a new ‘measuring rod’ for wellbeing outcomes is suitable for a degrowth context, but likely to clash with people’s current expectations of ever improving health and wellbeing outcomes. We propose that deliberative forums on future needs satisfaction can help establish a ‘dialogue’ between current and future generations which could support cultural shifts on wellbeing thinking which will be much needed for advancing the cause for degrowth.</t>
  </si>
  <si>
    <t>https://drive.google.com/open?id=1rb7J3M6bx1lOfNBW1Wvnsx9SXDDHReCD</t>
  </si>
  <si>
    <t>Warlenius, R.H. (2023). The limits to degrowth: Economic and climatic consequences of pessimist assumptions on decoupling. Ecological Economics, 213(November), 107937. https://doi.org/10.1016/j.ecolecon.2023.107937.</t>
  </si>
  <si>
    <t>Prof Environmental Social Science, School of Global Studies, University of Gothenburg, Sweden</t>
  </si>
  <si>
    <t>Argues the core claim of degrowth advocates - ecological damage cannot be decoupled from growth - is mistaken and that degrowth is impossible to achieve.</t>
  </si>
  <si>
    <t>In the debate between proponents of green growth and degrowth, the core issue is whether decoupling carbon emissions and resource use from GDP growth is possible, and if so, possible at a rate fast enough to achieve policy goals such as global warming of maximum 1.5 ◦C or 2 ◦C. In this paper, the claims by degrowth scholars on the limits of decoupling growth and carbon emissions are critically examined by assessing the economic and climate consequences of their claims. It is claimed that their pessimistic view on decoupling is not based on robust arguments but rather mystifications of what decoupling is. Following the assumptions by leading degrowth scholars – that decoupling (decrease of the emission intensity of GDP) are unlikely to be larger than 4% and that levels of GDP need to converge in a degrowing world – indicates that the 1.5 ◦C target is ruled out altogether and that in order to reach the 2 ◦C target, the economies of the global north would have to be reduced with over 90% and for middle income countries with around 70%. This appears as very unlikely to happen. Yet, there might be alternatives, which are discussed by sketching a realist and dynamic theory of decoupling.</t>
  </si>
  <si>
    <t>https://drive.google.com/open?id=1nXSZbskfKIgvcgCbNnqhvsnF7zzpOpnV</t>
  </si>
  <si>
    <t>Issaoui, F., Alqahtani, M., Guesmi, M., &amp; Jamee, A. (2024). Should we be sceptical in the face of calls for degrowth? Journal of Infrastructure, Policy and Development 2024, 8(5), 4292. Available at SSRN: https://ssrn.com/abstract=4555462 or http://dx.doi.org/10.2139/ssrn.4555462</t>
  </si>
  <si>
    <t>Fakhri &amp; Alqahtani @ College of Business, King Khalid University, Saudi Arabia; Guesmi @ Université de Jendouba, Tunisia; Jamee @ El Manar University, Tunisia</t>
  </si>
  <si>
    <t>Argues that degrowth cannot be achieved without mitigating social policy that should be financed by a carbon tax. Carbon tax perm answer to degrowth.</t>
  </si>
  <si>
    <t>In recent years, an ‘international’ unanimity has been reached as to the importance of collective collaboration to avoid the negative effects of climate change. This requires rethinking the old or traditional development model based on economic growth as the exclusive indicator of wealth. Thus, humanity has an urgent need to adopt a new, more humane and fairer economic model that constitutes an alternative to the models of exponential growth that have dominated in the last two centuries. To do so, humanity is looking to the Degrowth model as a potential concept that aims to reduce wealth from pollutants, seeks more justice (as equity), and the improvement of the capabilities of those who are poor and disadvantaged (in the sense of Amartya Sen and Martha Nussbaum). The purpose of this article is to question this model and whether it actually does improve environmental quality. Additionally, if the response is positive, another question arises: How to finance degrowth especially when we seek other less polluting energy sources whose costs seem to be very high?</t>
  </si>
  <si>
    <t>https://drive.google.com/open?id=1yhGfCSdpkPkcPF3bntMbqDHmtokgugFi</t>
  </si>
  <si>
    <t>Trainer, T. (2020). Simpler way transition theory. Real-World Economics Review, no. 93, pp. 96-112</t>
  </si>
  <si>
    <t>Conjoint Lecturer in the School of Social Sciences, University of New South Wales</t>
  </si>
  <si>
    <t>Argues for degrowth and the need to avoid institutional collaboration favoring instead preparatory work to aid the degrowth transition when the current order inevitably collapses.</t>
  </si>
  <si>
    <t>Industrialised societies have far exceeded sustainable levels of production, consumption, resource use and ecological impact. It is not generally understood that this means solutions must involve De-growth to much simpler lifestyles and systems. This makes the goals and the means of the required transition unlike any those in any previous revolution. Industrialised, globalised, competitive, individualistic, acquisitive and market-driven society must be replaced by mostly small localized communities maximising self-sufficiency and self-government within cooperative communities embracing and frugal non-material values. The implications for the transition process are also radical. Successful strategy cannot focus on political action within existing decision making institutions, confronting the ruling class, taking state power or resorting to physical force. The required changes cannot be made unless they are widely seen to be desirable. Thus this is primarily a cultural revolution. Therefore a sound theory of transition will be quite different to that assumed by conventional analysts, “green” activists, “populists” or those within the Marxist/socialist camp. A major element within the Simpler Way theory is the claim that official decision making institutions and procedures are incapable of bringing about the required changes. System collapse is therefore highly likely and desirable transition can only be achieved if sufficient commitment to The Simpler Way has previously been built.</t>
  </si>
  <si>
    <t>https://drive.google.com/open?id=1yzhHYmvAdjhl3PEK8eWQbdFSeBE7A2sP</t>
  </si>
  <si>
    <t>Kallis, G. (2015). The Degrowth Alternative. Great Transition Initiative.</t>
  </si>
  <si>
    <t>Kallis is an ecological economist and political ecologist, and a professor at ICTA, Barcelona. Previously a Marie Curie Fellow at the Energy and Resources Group of UC Berkeley, Giorgos holds also a Ph.D. in Environmental Policy from the University of the Aegean, a Masters in Economics from Universitat Pompeu Fabra, and a Masters in Environmental Engineering and a Bachelors in Chemistry from Imperial College, London.</t>
  </si>
  <si>
    <t>Summarizes degrowth as an alternative to capitalism and green growth</t>
  </si>
  <si>
    <t>Both the name and the theory of degrowth aim explicitly to repoliticize environmentalism. Sustainable development and its more recent reincarnation “green growth” depoliticize genuine political antagonisms between alternative visions for the future. They render environmental problems technical, promising win-win solutions and the impossible goal of perpetuating economic growth without harming the environment. Ecologizing society, degrowthers argue, is not about implementing an alternative, better, or greener development. It is about imagining and enacting alternative visions to modern growth-based development. This essay explores such alternatives and identifies grassroots practices and political changes for facilitating a transition to a prosperous and equitable world without growth.</t>
  </si>
  <si>
    <t>https://drive.google.com/open?id=1nUfjNx_1CY2XM4tTGae6lSN5TclEhIBn</t>
  </si>
  <si>
    <t>Alexander S (2020) Post-capitalism by design not disaster. The Ecological Citizen 3(Suppl B): 13–21.</t>
  </si>
  <si>
    <t>Lecturer with Office for Environmental Programs, University of Melbourne (Australia); Research fellow with the Melbourne Sustainable Society Institute</t>
  </si>
  <si>
    <t>Degrowth is inevitable; only its form is in question. Embracing degrowth theory is necessary so that when circumstances permit a smoother transition is possible. Solvency for an alternative.</t>
  </si>
  <si>
    <t>This article examines how to proactively design the end of capitalism rather than simply waiting for its collapse. It argues that capitalism is unable to resolve the emerging crises, for capitalism cannot function without economic growth, yet for ecological reasons economic growth cannot continue. However, there is a coherent alternative political economy – degrowth – and the emergence of various grassroots alternatives that, suitably scaled up, could help to form a post-capitalist economy. But our culture is not yet ready to embrace degrowth, with consumer affluence and techno-optimism still at the heart of mainstream conceptions of the ‘good life’. Nonetheless, it is important to keep alive these ideas of what an ecocentric, post-capitalist economy could look like, for in a crisis what today seems impossible or implausible can suddenly become possible and even probable.</t>
  </si>
  <si>
    <t>https://drive.google.com/open?id=1efLCMnwujMT8heDoatI8OkutakS4PaSf</t>
  </si>
  <si>
    <t>Dunlap, A. (2023). The green economy as counterinsurgency, or the ontological power affirming permanent ecological catastrophe. Environmental Science and Policy 139 (2023) 39–50</t>
  </si>
  <si>
    <t>Centre for Development and the Environment, University of Oslo, Norway</t>
  </si>
  <si>
    <t>Argues the emphasis on greening capitalism while continuing growthism invigorates the global capitalist order as a form of ideological counter-insurgency, defusing and defanging opposition</t>
  </si>
  <si>
    <t xml:space="preserve">As old as industrialism or civilization itself, socio-ecological problems are nothing new. Despite all efforts to resolve environmental dilemmas, socio-ecological catastrophe has only intensified. Governments, in response, have unveiled the green economy to confront ecological and climate catastrophe. The green economy, however, has worsened socio-ecological conditions, invigorating the present trajectory of (techno)capitalist development. This article argues that the green economy serves as a tool of global counterinsurgency, managing, preempting and redirecting the inevitable ecological anxiety that could mobilize for radical social change. While fragmenting ecological opposition, the green economy meanwhile serves as a “force multiplier” for market expansion and capitalist development, as opposed to actually working towards real socio-ecological mitigation and remediation. The article proceeds by defining counterinsurgency, and indicating its relevance to the green economy. Dissecting the technics of the green economy, the next section reviews its origins and epistemological foundations by investigating the concepts and operationalization of ‘energy’, ‘biodiversity’ and ‘carbon’. Then, briefly, the article reviews the extractive reality of low-carbon infrastructures, revealing the socio-ecological harm implied and justified by the green economic and decarbonization schemes. The green economy, it concludes, is a governmental technology, preventing collective self-reflection and action to (adequately) rehabilitate ecosystems and address the structural socio-ecological problems threatening the planet, thus preforming a counter-insurrectionary function in the service of state and capital. </t>
  </si>
  <si>
    <t>Jacobsen</t>
  </si>
  <si>
    <t>https://drive.google.com/open?id=1tHU1TJzAqMEoiPuiaCAljtqHLo5P-G1N</t>
  </si>
  <si>
    <t>Jackson, T., Hickel, J. &amp; Kallis, G. (2024). Confronting the dilemma of growth. A response to Warlenius (2023). Ecological Economics, 220(2024), 108089</t>
  </si>
  <si>
    <t>Jackson @Centre for the understanding of Sustainable Prosperity, University of Surrey, UK; Hickel &amp; Kallis @Institute of Environmental Science and Technology (ICTA-UAB) and Department of Anthropology, Autonomous University of Barcelona, Spain</t>
  </si>
  <si>
    <t>Responds to Warlenius (2023) criticism of degrowth analysis of decoupling and reasserts that degrowth is not economic collapse and that growth cannot produce decoupling.</t>
  </si>
  <si>
    <t xml:space="preserve">This commentary responds to a recent article in this journal (Warlenius, 2023) purporting to identify the ‘limits to degrowth’. We first clarify and set in context the tensions between growth rates and decoupling rates on which the argument is based. In particular, we show how failing to achieve sufficient decoupling appears to leave society torn between missing our climate targets and crashing our economies. This dilemma highlights the tough choices inherent in the climate transition. But it does not imply that critics of growth endorse economic collapse. On the contrary, the intention of postgrowth scholars is clearly to prevent this collapse by offering structural and social reforms, alongside technological options, as a way of meeting climate targets. Specifically we dispute the claim that growth is the best way to achieve high rates of decoupling. Counter to this, we present several mechanisms through which a growth-critical approach may be better aligned with the climate transition than an economic ideology founded on ‘growth at all costs’. </t>
  </si>
  <si>
    <t>https://drive.google.com/open?id=1AqAAtm-sbabrjPQbuGyTcqCfJS6YdOXk</t>
  </si>
  <si>
    <t>Gunderson, R., Stuart, D., &amp; Peterson, B.(2018) Ideological obstacles to effective climate policy: The greening of markets, technology, and growth. Capital &amp; Class, 42(1), 133-160</t>
  </si>
  <si>
    <t>Ryan Gunderson Miami University, USA; Stuart Northern Arizona University, USA; Petersen Northern Arizona University, USA</t>
  </si>
  <si>
    <t>Degrowth criticism links. Argues that greening markets, technological optimism, and faith in growth all produce ideological effects that preclude or obscure both the need for and opportunities for socioecological transformation</t>
  </si>
  <si>
    <t>In light of the 2015 Paris Climate Agreement, this project synthesizes and
advances critiques of the possibility of a sustainable capitalism by adopting
an explicit ‘negative’ theory of ideology, understood as ideas that conceal
contradictions through the reification and/or legitimation of the existing social
order. Prominent climate change policy frameworks – the ‘greening’ of markets
(market-corrective measures), technology (alternative energy, energy efficiency,
and geoengineering), and growth (the green growth strategy) – are shown to
conceal one or both of the two systemic socio-ecological contradictions inherent
in the current social formation: (1) a contradiction between capital’s growthdependence
and the latter’s degrading impact on the climate (the ‘capital-climate
contradiction’) and (2) a contradiction between the potential of using technological
infrastructure that aids in emissions reductions and the institutionalized social
relations that obstruct this technical potential (the ‘technical potential-productive
relations contradiction’). Attempts to reform the very techniques and institutions
that brought about the climate crisis will remain ineffective and reproduce the social order that results in climate change. After proposing a way in which
societies might move out of the ideological trappings of green markets, technology,
and growth, two alternatives are proposed: economic degrowth coupled with
Marcuse’s conception of a ‘new technology’.</t>
  </si>
  <si>
    <t>https://drive.google.com/open?id=1CNkSlcD87gemBBI7x1-PUYcfAA2sQbIT</t>
  </si>
  <si>
    <t>Cohen, D., Cha, J., Graetz, N., Singhal, A., Sen, R. (2023) Securing Climate Justice Federally: A Political Economy Approach to Targeted Investments. Environmental Justice, 15(5), 351-359</t>
  </si>
  <si>
    <t>iversity of California, Berkeley, Berkeley, California, USA. Dr.J. Mijin Cha is an Associate Professor of Urban and Environmental Policy at Occidental College, Los Angeles, California, USA. Dr.Nick Graetz isa postdoctoral scholar in Suciolopy at Princeton University, Princeton, New Jersey, USA. Aaryaman Singhal isa masters student at the Energy Resources Group at University of California, Berkeley, Berkeley, California, USA. Raka Sen is PhD Candidate in Sociology atL niversity of Pennsylvania, Philadelphia, Pennsylvania, USA.</t>
  </si>
  <si>
    <t>Environmental Justice</t>
  </si>
  <si>
    <t xml:space="preserve">a political economy approach to secure climate justice </t>
  </si>
  <si>
    <t>How can thefederal Justice40 policy framework tackle climate change and social inequalities at the same time and in the same places‘/ We adopta political economy approach. We situate environmental injustice in the context of long-standing racist patterns of public—primate investments in the United States, especially in housing, through practices such asredlining, transportation. and industrial development. We argue that any policy approach aiming toeliminate cnvironinental racism necds to take on public—private investment patterns at comparable scale. And building on our recent research
into New York State's own efforts to build on the lessons of California’s experience of targeted green investments, and our survey of reports on the Justice40, we make fiv'e broad recommendations to federal policymakers: (l) w'eargue that the Justice40 mandate should apply toa farbroader range of public—private investments than currently planned (and thus allocate tens of billions of dollars annually); (2) we urge thefederal government nottousetheCalifornia model ofa unilinear scale, and to adopt New York's proposal to count all low-income individuals as eligible for disproportionate investments in green home iinpi‘oveinents; (3) we recommend that the federal government (orstate governments) take equity stakes in offshore w ind, with revenues being reinvested based on the Justice40 formula; (4) we argue that the federal government must fund community
groups' governance capacity so that they can exert meaningful control over local investments; and (5) we call for embedding Justice40 in an overarching framew'ork of green high-road economic
development.</t>
  </si>
  <si>
    <t>Johnson WSU</t>
  </si>
  <si>
    <t>https://drive.google.com/open?id=1kiLoUhljL7g55ZZDTYH1ZwXATw5ZZAb6</t>
  </si>
  <si>
    <t>Lenferna, A., (2020). Fossil ruel welfare versus the climate. In G. Wood &amp; K. Baker (Eds.), The Palgrave handbook of managing fossil fuels and energy transitions (pp. 551-567). Palgrave Macmillan Cham. https://doi.org/10.1007/978-3-030-28076-5</t>
  </si>
  <si>
    <t xml:space="preserve">post-doctoral research fellow at Nelson Mandela University in the Department of Development Studies </t>
  </si>
  <si>
    <t>Orthodox Marxism K</t>
  </si>
  <si>
    <t>Capitalism itself is not the cause of climate crisis, advocates of the free market can be won over to abolishing fossil fuel welfare. This is more realistically done by policy than socialism.</t>
  </si>
  <si>
    <t>Henman WWU</t>
  </si>
  <si>
    <t>https://drive.google.com/open?id=1KLcDWbeT4v8goQTqpwbd_4Ji0zSWQhuU</t>
  </si>
  <si>
    <t>van den Bergh, J. C. J. M., &amp; Botzen, W. W. J., (2024). Assessing criticisms of carbon pricing. International Review of Environmental and Resource Economics, 18(3), 315-384. http://dx.doi.org/10.1561/101.00000172</t>
  </si>
  <si>
    <t>ICREA Research Professor in the Institute of Environmental Science &amp; Technology, Universitat Autònoma de Barcelona; director of the Institute for Environmental Studies (IVM), Vrije Universiteit (VU), Amsterdam;</t>
  </si>
  <si>
    <t>Answers link arguments to carbon tax and emissions trading schemes, taking into account the Marxist critique.</t>
  </si>
  <si>
    <t>There is still considerable resistance against carbon pricing — i.e. carbon taxation or cap-and-trade — in the social and policy sciences. We review its main arguments and con- clude that they are not supported by the theoretical and empirical literature on instrument performance. Critics are also unable to offer alternative and feasible instruments that limit free riding in climate solutions and perform better on main evaluation criteria, namely effectiveness, efficiency, equity, and global-harmonization potential. Their argument that carbon pricing meets strong political resistance is coun- tered by its widespread implementation already and by its ability to compensate inequitable impacts. We argue that overcoming unsubstantiated criticism on carbon pricing will lead to more consistent advice from policy experts to politi- cians, thus improving the feasibility of, and accelerating progress towards, globally harmonized and stringent climate policy. All in all, it might be more widely acknowledged that the remarkable feature of carbon pricing is that, if well implemented, it has a great number of advantages and few disadvantages. Rather than weakening political support by criticizing carbon pricing, critics would contribute more productively to effective global climate policy by defending proper and uniform implementation of it.</t>
  </si>
  <si>
    <t>WWU Henman</t>
  </si>
  <si>
    <t>https://drive.google.com/open?id=13m4LMknLDrIkz-Psft92ewlI0_okL1UN</t>
  </si>
  <si>
    <t>Jordán, F. (2025). Varieties of capitalism and environmental performance. Ecological Economics, 227, 108362. https://doi.org/10.1016/j.ecolecon.2024.108362</t>
  </si>
  <si>
    <t>I am an assistant professor in the Department of Economics and the Institute for Sustainable Development at Pontificia Universidad Católica de Chile. My research focuses on the political economy of sustainable development. I study the impact of policies and institutions on economic prosperity and environmental sustainability at the local and national levels, as well as the impact of environmental conditions on human populations. I am particularly interested in how indigenous cultural and institutional backgrounds interact with Western institutions to shape the economy, natural environment, and culture of rural communities in Latin America. Visit my research page to read about the projects I am currently working on.</t>
  </si>
  <si>
    <t>Cap K, Degrowth K</t>
  </si>
  <si>
    <t>Provides empirical evidence suggesting that capitalist systems are compatible with environmentalism. The article also suggests that capitalist governments may even be capable of successfully decoupling economic growth from warming.</t>
  </si>
  <si>
    <t>This paper investigates the role of institutions in decoupling economic growth from environmental impacts, employing the Varieties of Capitalism framework. It finds that Northern European countries have achieved more significant decoupling than other Western OECD countries since the 1980s, as measured by the Ecological Footprint of Consumption. Differences in corporatism, as well as the amount and type of public social expenditures, are hypothesized to play a crucial role in explaining this pattern. Multiple regression analysis reveals that larger proportions of GDP allocated to universal social expenditures — not contingent on work status — are robustly associated with stronger decoupling. This suggests that the considerable investments of Northern European countries in universal social benefits have been key for effectively reducing the environmental impacts associated with economic growth.</t>
  </si>
  <si>
    <t>Brown Hillsdale</t>
  </si>
  <si>
    <t>https://drive.google.com/open?id=145r5jwC1A-f-Nbru4oZ4C3V_C94_CWSs</t>
  </si>
  <si>
    <t>Budolfson, M. (2021). Arguments for Well-Regulated Capitalism, and Implications for Global Ethics, Food, Environment, Climate Change, and Beyond. Ethics &amp; International Affairs, 35(1), 83–98. doi:10.1017/S0892679421000083</t>
  </si>
  <si>
    <t>Mark Budolfson received his PhD from Princeton, and is currently a postdoctoral fellow at the McCoy Family Center for Ethics in Society at Stanford. His current research includes work on environmental philosophy, the legitimacy of international institutions, and general issues at the interface of ethics and public policy, especially in connection with collective action problems such as climate change and other dilemmas that arise in connection with common resources and public goods.</t>
  </si>
  <si>
    <t>Provides answers to cap K and degrowth K.</t>
  </si>
  <si>
    <t xml:space="preserve">This article argues that capitalism is not intrinsically the problem, and that market based solutions are key to addressing climate change. It argues that based on human proposerity based indicator outcomes (health, human wellbeing, etc.) a well regulated capitalism is superior over socialism or a degrowth model. </t>
  </si>
  <si>
    <t>Discourse on food ethics often advocates the anti-capitalist idea that we need less capitalism, less growth, and less globalization if we want to make the world a better and more equitable place. This idea is also familiar from much discourse in global ethics, environment, and political theory, more generally. However, many experts argue that this anti-capitalist idea is not supported by reason and argument, and is actually wrong. As part of the roundtable, “Ethics and the Future of the Global Food System,” the main contribution of this essay is to explain the structure of the leading arguments against this anti-capitalist idea, and in favor of well-regulated capitalism. I initially focus on general arguments for and against globalized capitalism. I then turn to implications for the food, environment, climate change, and beyond. Finally, I clarify the important kernel of truth in the critique of neoliberalism familiar from food ethics, political theory, and beyond—as well as the limitations of that critique.</t>
  </si>
  <si>
    <t>Morgun Oregon</t>
  </si>
  <si>
    <t>https://drive.google.com/open?id=1NEABb1DKjqMFZtjQEwlqRXsDy_lO_eP0</t>
  </si>
  <si>
    <t>Donaghy, T., Healy, N., Jiang, C., Battle, C. (2023). Fossil fuel racism in the United States: How phasing out coal, oil, and gas can protect communities. Energy Research &amp; Social Science</t>
  </si>
  <si>
    <t>Timothy Donaghy: Greenpeace. Noel Healy: Department of Geography Salem State University. Charles Jiang: Yale Law. Colette Pichon Battle: Taproot Earth</t>
  </si>
  <si>
    <t xml:space="preserve">Environmental Justice </t>
  </si>
  <si>
    <t>systemic racism subsidizes the fossil fuel industry by enabling it to externalize the costs of pollution and environmental degradation onto communities of color</t>
  </si>
  <si>
    <t>Fossil fuels — coal, oil, and gas — lie at the heart of the interconnected crises we face, including climate change,
racial injustice, and public health. Each stage of the fossil fuel life cycle — extraction, processing, transport, and
combustion — generates toxic air and water pollution, as well as greenhouse gas (GHGs) emissions that drive the
global climate crisis. Addressing the harmful effects of energy decisions, including unequal risk distribution
across various governance levels, supply chains, and political jurisdictions, is a complex task for policymakers
and society. A deeper understanding of how harms are embodied within fossil fuel life cycles is needed. This
paper provides a narrative review of recent studies within the United States (U.S.) that document both public
health harms and disproportionate impacts along the fossil fuel life cycle. In the U.S. the public health hazards
from air and water pollution, and risks associated with climate change, fall disproportionately on Black, Brown,
Indigenous, and poor communities. “Sacrifice zones” and systemic racism are deeply intertwined within the
fossil-fuel based economy. We argue systemic racism subsidizes the fossil fuel industry by enabling it to externalize the costs of pollution and environmental degradation onto communities of color. We position “fossil fuel
racism” as a subset of environmental racism and argue that this framing is useful because it shifts analytical and
political focus to the systems and structures which are actively protecting and promoting continued production of
fossil fuels. We discuss the implications of this body of research for climate policy, and outline how poorly
designed “carbon-centric” policies—which focus narrowly on GHGs reduction—could fail to alleviate the racialized disparities or potentially worsen it for some communities. We emphasize the need to move beyond
carbon-centric approaches to climate solutions to more integrative approaches to policy design that can improve
public health, tackle the global climate crisis, and rectify our legacy of fossil fuel racism. Specifically we call for a
managed phase out of fossil fuel production and the enactment of wider programs of social, economic, and
democratic reforms via a Green New Deal. Adequately addressing the climate crisis and fossil fuel racism require
political and policy solutions that disrupt the power and actions of the fossil fuel industry and their state allies</t>
  </si>
  <si>
    <t>https://drive.google.com/open?id=1BhHL5YMjib4zroBrTlpmqZqtkwTgy4I_</t>
  </si>
  <si>
    <t>Malm, Andreas (2020) To Halt Climate Change, We Need an Ecological Leninism</t>
  </si>
  <si>
    <t>Andreas Malm is associate senior lecturer in human ecology at Lund University. He is author of Fossil Capital: The Rise of Steam Power and the Roots of Global Warming and Corona, Climate, Chronic Emergency: War Communism in the Twenty-First Century.</t>
  </si>
  <si>
    <t>Marxism K</t>
  </si>
  <si>
    <t>Advocates for a state based control of ecology to solve climate change</t>
  </si>
  <si>
    <t>leyba</t>
  </si>
  <si>
    <t>https://drive.google.com/open?id=1oGO9RNrFN3YItfsXSaEaY7Ilv8EU_A1X</t>
  </si>
  <si>
    <t>Dean, J. (2016). The Anamorphic Politics of Climate Change. *E-Flux Journal*, 69. https://www.e-flux.com/journal/69/60586/the-anamorphic-politics-of-climate-change/#:~:text=Jodi%20Dean,-Issue%20%2369&amp;text=Politics%20in%20the%20Anthropocene%20is,for%20patterns%20and%20estimate%20probabilities</t>
  </si>
  <si>
    <t xml:space="preserve">Jodi Dean is an American political theorist and professor in the Political Science department at Hobart and William Smith Colleges in New York state. She held the Donald R. Harter ’39 Professorship of the Humanities and Social Sciences from 2013 to 2018. </t>
  </si>
  <si>
    <t>Cap K</t>
  </si>
  <si>
    <t>Jodi Dean’s "The Anamorphic Politics of Climate Change" argues that climate politics in the Anthropocene is shaped by fragmented perspectives, where evidence appears as extremes but remains elusive in totality. She critiques the Left’s oscillation between moralism and catastrophe, seeing enjoyment in the paralysis of action. Dean connects this to Lacanian jouissance, where pleasure is derived from destruction and knowing, mirroring capitalism’s relentless drive. She proposes an anamorphic perspective—viewing climate change from the side, focusing on infrastructures like fossil fuel industries and cultural institutions to mobilize collective action and counteract capitalist power.</t>
  </si>
  <si>
    <t>Schmitt UO</t>
  </si>
  <si>
    <t>https://drive.google.com/open?id=1xsGbYrX11rjFxyDiAfn0kTuU-R2L4YGH</t>
  </si>
  <si>
    <t>Heron, K. &amp; Dean, J. (2020). Revolution or Ruin. *e-Flux Journal*, 110. https://www.e-flux.com/journal/110/335242/revolution-or-ruin/</t>
  </si>
  <si>
    <t>Kai Heron is a political ecologist, political economist, and theorist of rural and agrarian transition at Lancaster University. Jodi Dean is an American political theorist and professor in the Political Science department at Hobart and William Smith Colleges in New York state.</t>
  </si>
  <si>
    <t>Drawing on Wallace-Wells and critiquing Chakrabarty, the text challenges the idea that capitalist self-interest will drive an effective climate response. It argues that framing climate breakdown as a moral failing or as an issue best addressed through market solutions ignores how capitalism profits from disaster. Movements like Extinction Rebellion, by trying to move “beyond politics,” deflect responsibility for genuine collective action. In contrast, the article asserts that only a revolutionary, state-led seizure of power—eschewing both reformist green policies like the Green New Deal and state-phobic, decentralized responses—can fundamentally transform the exploitative dynamics of capitalism and confront the intertwined social and ecological catastrophes of our time.</t>
  </si>
  <si>
    <t>https://drive.google.com/open?id=1b-RnDa3DKN7SoAYxnKRAcW0ADgd2_AZ0</t>
  </si>
  <si>
    <t>Foster, J.B. (2024). The Dialectics of Ecology: Socialism and Nature. New York: Monthly Review Press. Print.  ISBN: 9781685900465.</t>
  </si>
  <si>
    <t>John Bellamy Foster is editor of Monthly Review and professor of sociology at the University of Oregon. He has written widely on political economy and has established a reputation as a major environmental sociologist. He is the author of Marx’s Ecology: Materialism and Nature (2000), The Great Financial Crisis: Causes and Consequences (with Fred Magdoff, 2009), The Ecological Rift: Capitalism’s War on the Earth (with Brett Clark and Richard York, 2010), and The Theory of Monopoly Capitalism: An Elaboration of Marxian Political Economy (New Edition, 2014), among many others.</t>
  </si>
  <si>
    <t>Marx K</t>
  </si>
  <si>
    <t xml:space="preserve">Interrogates Marxist critique of enlightenment humanism </t>
  </si>
  <si>
    <t>Today the fate of the earth as a home for humanity is in question-and yet, contends John Bellamy Foster, the reunification of humanity and the earth remains possible if we are prepared to make revolutionary changes. As with his prior books, The Dialectics of Ecology is grounded in the contention that we are now faced with a concrete choice between ecological socialism and capitalist exterminism, and rooted in insights drawn from the classical historical materialist tradition. In this latest work, Foster explores the complex theoretical debates that have arisen historically with respect to the dialectics of nature and society. He then goes on to examine the current contradictions associated with the confrontation between capitalist extractivism and the financialization of nature, on the one hand, and the radical challenges to these represented by emergent visions of ecological civilization and planned degrowth, on the other"--Provided by publisher.</t>
  </si>
  <si>
    <t>https://drive.google.com/open?id=18Gtb2Ak6LetQtpZfiJXVioqHZ0Z_QSEE</t>
  </si>
  <si>
    <t>Chambers, C. L., (2021). A critique of the “socio‐ecological fix” and towards revolutionary rupture. Area, 53(1), 114–121. https://doi.org/10.1111/area.12668</t>
  </si>
  <si>
    <t>Graduate Student, Department of Geography and the Environment, Syracuse University</t>
  </si>
  <si>
    <t>Emphasis on fixing the socio-ecological crisis under capitalism (up to and including the GND) fail to account for the severity of the crisis in the 21st century. There is only one solution: revolution</t>
  </si>
  <si>
    <t>The “socio‐ecological fix” has become increasingly popular to understand a possi- ble and future energy transition off fossil fuels within the confines of capitalist social relations of production. The concept emerges and builds off David Har- vey’s famous “spatial fix” concept to understand how capitalism can temporarily transcend the current climate crisis. The “socio‐ecological fix” helps see how cap- italist crises and fixes are economic and environmental at the same time, inter- twined together. Through a review of the literature that develops the “socio‐ ecological fix” concept, I make two clear arguments. First, I argue that the con- cept is trapped in a specific historical understanding of 20th‐century capitalism that goes through crisis and fixes. According to this framework, from which the “socio‐ecological fix” functions within, the capitalist mode of production is here to stay indefinitely and can only be reformed through series of fixes. This under- standing of capitalism not only downplays class struggle but also has too much of a narrow sense of politics in the context of the ongoing climate crisis. Second, I argue that this understanding of history largely ignores the potential for revolu- tionary ruptures that create social systems entirely at odds with capital. The sever- ity of the climate crisis suggests that moving further into the 21st century will not allow such clean fixes. The climate crisis will make revolutionary ruptures not only possible, but inevitable.</t>
  </si>
  <si>
    <t>https://drive.google.com/open?id=1DVn6mAdj2cLN2gQ54dbqiJPLYQfLlPOk</t>
  </si>
  <si>
    <t>Liodakis, G. (2023). Transcending socio-ecological crisis by means of the state or revolution? Capitalism Nature Socialism, 34(4), 58-77. https://doi.org/10.1080/10455752.2023.2172597</t>
  </si>
  <si>
    <t>retired professor of Political Economy, who taught for many years at the Technical University of Crete, Greece.</t>
  </si>
  <si>
    <t>The idea of using the bourgeois state to solve climate change is revisionist; a successful revolution requires smashing and replacing the ready-made state machinery with democratic workers government.</t>
  </si>
  <si>
    <t>The exacerbated socio-ecological crisis, including the devastating COVID-19 pandemic during the last few years, has given rise to a variety of interpretations and strategies to face this crisis. Some researchers have suggested that the state is the single most effective agent capable of mobilizing the amount of resources and the policies required to overcome a crisis of such a broad scope and devastating impact. This paper analyzes the causes of the multifaceted and deepening socio-ecological crisis to show that the root cause behind this crisis is the capitalist mode of production itself. Subsequently, I interrogate those approaches proposing the state as a strategic mechanism to combat and overcome the crisis. It is outlined that the class-based (non-neutral) character of the state will tend to reproduce the prevailing capitalist relations of production, namely the basic conditions for the generation and exacerbation of this crisis. As is finally suggested, it is only with a revolutionary transformation of society that the working social majority will be able to radically undo the fundamental causes of the crisis and create the conditions for a peaceful and sustainable development on a planetary level.</t>
  </si>
  <si>
    <t>https://drive.google.com/open?id=1cilI93zbffDfyHhHTCtxKnioSmIst-JM</t>
  </si>
  <si>
    <t>Chambers, C. L., (2022). Afterword: Towards an ecopedagogy of revolutionary optimism in the age of climate crisis. In P. Jandrić, D. R. Ford (Eds.), Postdigital Ecopedagogies (pp. 281-285). Springer. https://doi.org/10.1007/978-3-030-97262-2</t>
  </si>
  <si>
    <t>Instead of rehashing tired disempowering mantras of individualism and reformism, climate educators should embrace a historical materialist pedagogy and foster revolutionary optimism.</t>
  </si>
  <si>
    <t>https://drive.google.com/open?id=1De0fPzsbVyDJC5h3i6w8GAlec7zMoAgs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</si>
</sst>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h:mm:ss"/>
  </numFmts>
  <fonts count="10">
    <font>
      <sz val="10.0"/>
      <color rgb="FF000000"/>
      <name val="Arial"/>
      <scheme val="minor"/>
    </font>
    <font>
      <color theme="1"/>
      <name val="Arial"/>
      <scheme val="minor"/>
    </font>
    <font>
      <u/>
      <color rgb="FF0000FF"/>
    </font>
    <font>
      <u/>
      <color rgb="FF0000FF"/>
    </font>
    <font>
      <u/>
      <color rgb="FF0000FF"/>
    </font>
    <font>
      <sz val="10.0"/>
      <color theme="1"/>
      <name val="Arial"/>
      <scheme val="minor"/>
    </font>
    <font>
      <sz val="8.0"/>
      <color theme="1"/>
      <name val="Arial"/>
      <scheme val="minor"/>
    </font>
    <font>
      <color theme="1"/>
      <name val="Arial"/>
    </font>
    <font>
      <u/>
      <color rgb="FF1155CC"/>
      <name val="Arial"/>
    </font>
    <font>
      <u/>
      <color rgb="FF1155CC"/>
      <name val="Arial"/>
    </font>
  </fonts>
  <fills count="5">
    <fill>
      <patternFill patternType="none"/>
    </fill>
    <fill>
      <patternFill patternType="lightGray"/>
    </fill>
    <fill>
      <patternFill patternType="solid">
        <fgColor rgb="FFFF0000"/>
        <bgColor rgb="FFFF0000"/>
      </patternFill>
    </fill>
    <fill>
      <patternFill patternType="solid">
        <fgColor rgb="FFFFFF00"/>
        <bgColor rgb="FFFFFF00"/>
      </patternFill>
    </fill>
    <fill>
      <patternFill patternType="solid">
        <fgColor rgb="FFFFFFFF"/>
        <bgColor rgb="FFFFFFFF"/>
      </patternFill>
    </fill>
  </fills>
  <borders count="1">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1" numFmtId="0" xfId="0" applyAlignment="1" applyFont="1">
      <alignment readingOrder="0"/>
    </xf>
    <xf borderId="0" fillId="0" fontId="1" numFmtId="164" xfId="0" applyFont="1" applyNumberFormat="1"/>
    <xf borderId="0" fillId="0" fontId="2" numFmtId="0" xfId="0" applyAlignment="1" applyFont="1">
      <alignment shrinkToFit="0" wrapText="1"/>
    </xf>
    <xf borderId="0" fillId="0" fontId="3" numFmtId="0" xfId="0" applyFont="1"/>
    <xf borderId="0" fillId="0" fontId="4" numFmtId="0" xfId="0" applyAlignment="1" applyFont="1">
      <alignment readingOrder="0"/>
    </xf>
    <xf borderId="0" fillId="0" fontId="1" numFmtId="0" xfId="0" applyAlignment="1" applyFont="1">
      <alignment readingOrder="0" shrinkToFit="0" wrapText="1"/>
    </xf>
    <xf borderId="0" fillId="0" fontId="1" numFmtId="0" xfId="0" applyAlignment="1" applyFont="1">
      <alignment shrinkToFit="0" wrapText="1"/>
    </xf>
    <xf borderId="0" fillId="0" fontId="1" numFmtId="0" xfId="0" applyAlignment="1" applyFont="1">
      <alignment readingOrder="0" shrinkToFit="0" wrapText="1"/>
    </xf>
    <xf borderId="0" fillId="0" fontId="5" numFmtId="0" xfId="0" applyAlignment="1" applyFont="1">
      <alignment readingOrder="0" shrinkToFit="0" wrapText="1"/>
    </xf>
    <xf borderId="0" fillId="2" fontId="1" numFmtId="0" xfId="0" applyAlignment="1" applyFill="1" applyFont="1">
      <alignment readingOrder="0" shrinkToFit="0" wrapText="1"/>
    </xf>
    <xf borderId="0" fillId="2" fontId="1" numFmtId="0" xfId="0" applyAlignment="1" applyFont="1">
      <alignment readingOrder="0"/>
    </xf>
    <xf borderId="0" fillId="2" fontId="1" numFmtId="0" xfId="0" applyAlignment="1" applyFont="1">
      <alignment shrinkToFit="0" wrapText="1"/>
    </xf>
    <xf borderId="0" fillId="2" fontId="6" numFmtId="0" xfId="0" applyAlignment="1" applyFont="1">
      <alignment readingOrder="0"/>
    </xf>
    <xf borderId="0" fillId="2" fontId="1" numFmtId="0" xfId="0" applyFont="1"/>
    <xf borderId="0" fillId="3" fontId="1" numFmtId="0" xfId="0" applyAlignment="1" applyFill="1" applyFont="1">
      <alignment readingOrder="0" shrinkToFit="0" wrapText="1"/>
    </xf>
    <xf borderId="0" fillId="3" fontId="1" numFmtId="0" xfId="0" applyAlignment="1" applyFont="1">
      <alignment readingOrder="0"/>
    </xf>
    <xf borderId="0" fillId="3" fontId="6" numFmtId="0" xfId="0" applyAlignment="1" applyFont="1">
      <alignment readingOrder="0"/>
    </xf>
    <xf borderId="0" fillId="3" fontId="1" numFmtId="0" xfId="0" applyFont="1"/>
    <xf borderId="0" fillId="3" fontId="1" numFmtId="0" xfId="0" applyAlignment="1" applyFont="1">
      <alignment shrinkToFit="0" wrapText="1"/>
    </xf>
    <xf borderId="0" fillId="3" fontId="6" numFmtId="0" xfId="0" applyAlignment="1" applyFont="1">
      <alignment readingOrder="0"/>
    </xf>
    <xf borderId="0" fillId="0" fontId="6" numFmtId="0" xfId="0" applyFont="1"/>
    <xf borderId="0" fillId="4" fontId="7" numFmtId="0" xfId="0" applyAlignment="1" applyFill="1" applyFont="1">
      <alignment vertical="bottom"/>
    </xf>
    <xf borderId="0" fillId="4" fontId="7" numFmtId="0" xfId="0" applyAlignment="1" applyFont="1">
      <alignment shrinkToFit="0" vertical="bottom" wrapText="0"/>
    </xf>
    <xf borderId="0" fillId="4" fontId="7" numFmtId="0" xfId="0" applyAlignment="1" applyFont="1">
      <alignment readingOrder="0" vertical="bottom"/>
    </xf>
    <xf borderId="0" fillId="4" fontId="8" numFmtId="0" xfId="0" applyAlignment="1" applyFont="1">
      <alignment vertical="bottom"/>
    </xf>
    <xf borderId="0" fillId="4" fontId="1" numFmtId="0" xfId="0" applyFont="1"/>
    <xf borderId="0" fillId="4" fontId="1" numFmtId="0" xfId="0" applyAlignment="1" applyFont="1">
      <alignment readingOrder="0" shrinkToFit="0" wrapText="1"/>
    </xf>
    <xf borderId="0" fillId="4" fontId="1" numFmtId="0" xfId="0" applyAlignment="1" applyFont="1">
      <alignment readingOrder="0"/>
    </xf>
    <xf borderId="0" fillId="4" fontId="6" numFmtId="0" xfId="0" applyAlignment="1" applyFont="1">
      <alignment readingOrder="0"/>
    </xf>
    <xf borderId="0" fillId="0" fontId="7" numFmtId="0" xfId="0" applyAlignment="1" applyFont="1">
      <alignment shrinkToFit="0" vertical="bottom" wrapText="1"/>
    </xf>
    <xf borderId="0" fillId="0" fontId="7" numFmtId="0" xfId="0" applyAlignment="1" applyFont="1">
      <alignment vertical="bottom"/>
    </xf>
    <xf borderId="0" fillId="0" fontId="7" numFmtId="0" xfId="0" applyAlignment="1" applyFont="1">
      <alignment shrinkToFit="0" vertical="bottom" wrapText="0"/>
    </xf>
    <xf borderId="0" fillId="0" fontId="9"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4" Type="http://schemas.openxmlformats.org/officeDocument/2006/relationships/worksheet" Target="worksheets/sheet1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open?id=1CbMaR8_S2TFBUgbjygmUQsnQUpkVwmjd" TargetMode="External"/><Relationship Id="rId190" Type="http://schemas.openxmlformats.org/officeDocument/2006/relationships/hyperlink" Target="https://drive.google.com/open?id=1IW0gu2vPTN3rmP_r0VPytUUFfjlcnNIw" TargetMode="External"/><Relationship Id="rId42" Type="http://schemas.openxmlformats.org/officeDocument/2006/relationships/hyperlink" Target="https://drive.google.com/open?id=1s3qcxlf-BPTJX3nlBR_zd9zsl8TeWJX-" TargetMode="External"/><Relationship Id="rId41" Type="http://schemas.openxmlformats.org/officeDocument/2006/relationships/hyperlink" Target="https://drive.google.com/open?id=11Z-Qmi8eW1J3KdzMyZUqkgQH12VMWlbc" TargetMode="External"/><Relationship Id="rId44" Type="http://schemas.openxmlformats.org/officeDocument/2006/relationships/hyperlink" Target="https://drive.google.com/open?id=1abHrhi6GA_s9C-893FR5psCwc6feJltB" TargetMode="External"/><Relationship Id="rId194" Type="http://schemas.openxmlformats.org/officeDocument/2006/relationships/hyperlink" Target="https://drive.google.com/open?id=1LEia24WR-ZzAY9IN7bdujbqCYD_HVgtd" TargetMode="External"/><Relationship Id="rId43" Type="http://schemas.openxmlformats.org/officeDocument/2006/relationships/hyperlink" Target="https://drive.google.com/open?id=1mONNfEHv1yizX0IX4Sx76DzFoMI6k4Od" TargetMode="External"/><Relationship Id="rId193" Type="http://schemas.openxmlformats.org/officeDocument/2006/relationships/hyperlink" Target="https://drive.google.com/open?id=1R3ofIFeP5yPEzRxDiXteaa1LvtalmmwH" TargetMode="External"/><Relationship Id="rId46" Type="http://schemas.openxmlformats.org/officeDocument/2006/relationships/hyperlink" Target="https://drive.google.com/open?id=1nKaJrt_D_18_W-1U2Ac5j7F6E6IRFfi0" TargetMode="External"/><Relationship Id="rId192" Type="http://schemas.openxmlformats.org/officeDocument/2006/relationships/hyperlink" Target="https://drive.google.com/open?id=1TylX4s8WNduvRQ_Q1-V4JzGrsnUVcn8f" TargetMode="External"/><Relationship Id="rId45" Type="http://schemas.openxmlformats.org/officeDocument/2006/relationships/hyperlink" Target="https://drive.google.com/open?id=18Gtb2Ak6LetQtpZfiJXVioqHZ0Z_QSEE" TargetMode="External"/><Relationship Id="rId191" Type="http://schemas.openxmlformats.org/officeDocument/2006/relationships/hyperlink" Target="https://drive.google.com/open?id=1QQdG5loTr9Rzjah__PpUd29Kfr61VrEH" TargetMode="External"/><Relationship Id="rId48" Type="http://schemas.openxmlformats.org/officeDocument/2006/relationships/hyperlink" Target="https://drive.google.com/open?id=18yrG1o6WkWZQ7wwvGfPdarfZumKaBHLy" TargetMode="External"/><Relationship Id="rId187" Type="http://schemas.openxmlformats.org/officeDocument/2006/relationships/hyperlink" Target="https://drive.google.com/open?id=1mpNtM6wNOZjKqzmHwXTbkUNQ2zzU02d4" TargetMode="External"/><Relationship Id="rId47" Type="http://schemas.openxmlformats.org/officeDocument/2006/relationships/hyperlink" Target="https://drive.google.com/open?id=1v2WHd0_9320Ro1sKDHhknSYI8CxN6S2y" TargetMode="External"/><Relationship Id="rId186" Type="http://schemas.openxmlformats.org/officeDocument/2006/relationships/hyperlink" Target="https://drive.google.com/open?id=1qwdX9MGnI5s3eKb0G4rhdsuIjz__JFEV" TargetMode="External"/><Relationship Id="rId185" Type="http://schemas.openxmlformats.org/officeDocument/2006/relationships/hyperlink" Target="https://drive.google.com/open?id=1qnRDV61oxmpQEtzE0nNAyOJk44qlx3_f" TargetMode="External"/><Relationship Id="rId49" Type="http://schemas.openxmlformats.org/officeDocument/2006/relationships/hyperlink" Target="https://drive.google.com/open?id=1TKgcnnnGHhxIeu9RCwgeJwWdscSghLao" TargetMode="External"/><Relationship Id="rId184" Type="http://schemas.openxmlformats.org/officeDocument/2006/relationships/hyperlink" Target="https://drive.google.com/open?id=1xfsFM4OQrGSksq5xMp1GUWNwaqS6qn3M" TargetMode="External"/><Relationship Id="rId189" Type="http://schemas.openxmlformats.org/officeDocument/2006/relationships/hyperlink" Target="https://drive.google.com/open?id=1abeX2L4AVqo3963YQ77xnOafxuaGzP4N" TargetMode="External"/><Relationship Id="rId188" Type="http://schemas.openxmlformats.org/officeDocument/2006/relationships/hyperlink" Target="https://drive.google.com/open?id=1nZGjUkHhXjxrpCXYl8znudy6h8ZrtkYL" TargetMode="External"/><Relationship Id="rId31" Type="http://schemas.openxmlformats.org/officeDocument/2006/relationships/hyperlink" Target="https://drive.google.com/open?id=1dj5-5SToWsWK_RRMfNn_8VePz3pHI1FH" TargetMode="External"/><Relationship Id="rId30" Type="http://schemas.openxmlformats.org/officeDocument/2006/relationships/hyperlink" Target="https://drive.google.com/open?id=1kiLoUhljL7g55ZZDTYH1ZwXATw5ZZAb6" TargetMode="External"/><Relationship Id="rId33" Type="http://schemas.openxmlformats.org/officeDocument/2006/relationships/hyperlink" Target="https://drive.google.com/open?id=1BhHL5YMjib4zroBrTlpmqZqtkwTgy4I_" TargetMode="External"/><Relationship Id="rId183" Type="http://schemas.openxmlformats.org/officeDocument/2006/relationships/hyperlink" Target="https://drive.google.com/open?id=1dDsmEUOo0j8Hb6i9o9pCSLi-rp2WRwis" TargetMode="External"/><Relationship Id="rId32" Type="http://schemas.openxmlformats.org/officeDocument/2006/relationships/hyperlink" Target="https://drive.google.com/open?id=1WRmF6Ge61VqwfCPE0XaVQh30NO0MRTYB" TargetMode="External"/><Relationship Id="rId182" Type="http://schemas.openxmlformats.org/officeDocument/2006/relationships/hyperlink" Target="https://drive.google.com/open?id=1cNwqyi9KKH7Ir_BCx5j815AI3CoOqVrO" TargetMode="External"/><Relationship Id="rId35" Type="http://schemas.openxmlformats.org/officeDocument/2006/relationships/hyperlink" Target="https://drive.google.com/open?id=1h6eDrsVd9NfI-CKigHQBc6xr92OIVZ9T" TargetMode="External"/><Relationship Id="rId181" Type="http://schemas.openxmlformats.org/officeDocument/2006/relationships/hyperlink" Target="https://drive.google.com/open?id=12mHvGiKqOYdvKcD1h_dmFqG2qPSuvyJq" TargetMode="External"/><Relationship Id="rId34" Type="http://schemas.openxmlformats.org/officeDocument/2006/relationships/hyperlink" Target="https://drive.google.com/open?id=1bYHRWAVCHpu0tj5_rI5Uv23QMWn6_3ec" TargetMode="External"/><Relationship Id="rId180" Type="http://schemas.openxmlformats.org/officeDocument/2006/relationships/hyperlink" Target="https://drive.google.com/open?id=1DANCF5AkzGoT9wKUzWvtok-VZwsE0N-w" TargetMode="External"/><Relationship Id="rId37" Type="http://schemas.openxmlformats.org/officeDocument/2006/relationships/hyperlink" Target="https://drive.google.com/open?id=1jWlmBq_8uBFxzUFHqXWsPHz95MmznlsR" TargetMode="External"/><Relationship Id="rId176" Type="http://schemas.openxmlformats.org/officeDocument/2006/relationships/hyperlink" Target="https://drive.google.com/open?id=106H_cpAlVmrJ7A2ZzxGFnH5T_DWdobWK" TargetMode="External"/><Relationship Id="rId36" Type="http://schemas.openxmlformats.org/officeDocument/2006/relationships/hyperlink" Target="https://drive.google.com/open?id=1iao7_7QBS1CmXuCdxIR9gePVsO3cyuRj" TargetMode="External"/><Relationship Id="rId175" Type="http://schemas.openxmlformats.org/officeDocument/2006/relationships/hyperlink" Target="https://drive.google.com/open?id=1cjrzmdaqFbDWqOlCrcdzGlk7gmyKWaMA" TargetMode="External"/><Relationship Id="rId39" Type="http://schemas.openxmlformats.org/officeDocument/2006/relationships/hyperlink" Target="https://drive.google.com/open?id=1LEN-KLY0hbcm0PnjET-Hu_OqD9P6VwUd" TargetMode="External"/><Relationship Id="rId174" Type="http://schemas.openxmlformats.org/officeDocument/2006/relationships/hyperlink" Target="https://drive.google.com/open?id=12klb4_xE_kcEyrt_ay2wgAtHST_uDvtb" TargetMode="External"/><Relationship Id="rId38" Type="http://schemas.openxmlformats.org/officeDocument/2006/relationships/hyperlink" Target="https://drive.google.com/open?id=1UTTe0mZS7Xla5Yv7hVR6WcBQp07mUF_0" TargetMode="External"/><Relationship Id="rId173" Type="http://schemas.openxmlformats.org/officeDocument/2006/relationships/hyperlink" Target="https://drive.google.com/open?id=1q_b7hkTagiWUuGwWbXKARPhAvlpxp83e" TargetMode="External"/><Relationship Id="rId179" Type="http://schemas.openxmlformats.org/officeDocument/2006/relationships/hyperlink" Target="https://drive.google.com/open?id=1UvW8wJAkJ9AN89b6szOqZQhxjYQz405K" TargetMode="External"/><Relationship Id="rId178" Type="http://schemas.openxmlformats.org/officeDocument/2006/relationships/hyperlink" Target="https://drive.google.com/open?id=1JJujNQN4W1mwdUUDB1j7Hye5pLjmUqOx" TargetMode="External"/><Relationship Id="rId177" Type="http://schemas.openxmlformats.org/officeDocument/2006/relationships/hyperlink" Target="https://drive.google.com/open?id=1qV8lsL3H9vqsF96VUH7OABvFD18Hi7Of" TargetMode="External"/><Relationship Id="rId20" Type="http://schemas.openxmlformats.org/officeDocument/2006/relationships/hyperlink" Target="https://drive.google.com/open?id=1vsu1QJc33cNFFIfoaA3fBJ2kl9cm91c7" TargetMode="External"/><Relationship Id="rId22" Type="http://schemas.openxmlformats.org/officeDocument/2006/relationships/hyperlink" Target="https://drive.google.com/open?id=1dRz3H-BWrXt8jmLUBgFLZnqU7kupQV_E" TargetMode="External"/><Relationship Id="rId21" Type="http://schemas.openxmlformats.org/officeDocument/2006/relationships/hyperlink" Target="https://drive.google.com/open?id=1ncyiHFNw-XQRVuV44VWeDW98I-_Hex3Z" TargetMode="External"/><Relationship Id="rId24" Type="http://schemas.openxmlformats.org/officeDocument/2006/relationships/hyperlink" Target="https://drive.google.com/open?id=1QMzKOMerUCQy5zfyOFjN0tgsfeRswtgw" TargetMode="External"/><Relationship Id="rId23" Type="http://schemas.openxmlformats.org/officeDocument/2006/relationships/hyperlink" Target="https://drive.google.com/open?id=1hjGVKjnIAgcuGMLnq1Yw3TwNNAGqKXIl" TargetMode="External"/><Relationship Id="rId26" Type="http://schemas.openxmlformats.org/officeDocument/2006/relationships/hyperlink" Target="https://drive.google.com/open?id=1bWZnPn9EgUgD8PhFK8zWBLuN6dpVwISI" TargetMode="External"/><Relationship Id="rId25" Type="http://schemas.openxmlformats.org/officeDocument/2006/relationships/hyperlink" Target="https://drive.google.com/open?id=1hPFsA80zzs00SKd9EGfpCojuPpmbYE7-" TargetMode="External"/><Relationship Id="rId28" Type="http://schemas.openxmlformats.org/officeDocument/2006/relationships/hyperlink" Target="https://drive.google.com/open?id=1lrjD9Oi2y5BCCqkOmNJpTv3c_soVpcCE" TargetMode="External"/><Relationship Id="rId27" Type="http://schemas.openxmlformats.org/officeDocument/2006/relationships/hyperlink" Target="https://drive.google.com/open?id=1B1l-ySAVmhUYoU8vKWIoYrwWHbVJN77X" TargetMode="External"/><Relationship Id="rId29" Type="http://schemas.openxmlformats.org/officeDocument/2006/relationships/hyperlink" Target="https://drive.google.com/open?id=1jpGJpbAvcu0CESVSd8zdMkle88VE82yb" TargetMode="External"/><Relationship Id="rId11" Type="http://schemas.openxmlformats.org/officeDocument/2006/relationships/hyperlink" Target="https://drive.google.com/open?id=1kKQvejM0dobUL4RUTyUdA_kRa6XR3dsk" TargetMode="External"/><Relationship Id="rId10" Type="http://schemas.openxmlformats.org/officeDocument/2006/relationships/hyperlink" Target="https://drive.google.com/open?id=1j3iyl9guz2R9CNwA4gMfUKSgGNG22n2E" TargetMode="External"/><Relationship Id="rId13" Type="http://schemas.openxmlformats.org/officeDocument/2006/relationships/hyperlink" Target="https://drive.google.com/open?id=1PtQcPK1UohSAMMbPtqWiiXskrZcrtHJd" TargetMode="External"/><Relationship Id="rId12" Type="http://schemas.openxmlformats.org/officeDocument/2006/relationships/hyperlink" Target="https://drive.google.com/open?id=1JuTMHwM4c1KBDKEIoo3iChroTHRy-P3a" TargetMode="External"/><Relationship Id="rId15" Type="http://schemas.openxmlformats.org/officeDocument/2006/relationships/hyperlink" Target="https://drive.google.com/open?id=1PASnQjZgnCxCms9D3JeztyUc3qMEsSP1" TargetMode="External"/><Relationship Id="rId198" Type="http://schemas.openxmlformats.org/officeDocument/2006/relationships/hyperlink" Target="https://drive.google.com/open?id=14Fd4SI4tRSa1oPUU_PR-ZGiXkJG17T4V" TargetMode="External"/><Relationship Id="rId14" Type="http://schemas.openxmlformats.org/officeDocument/2006/relationships/hyperlink" Target="https://drive.google.com/open?id=1v1xpDyi10vWhNcCRgeLcxFk7l_OlFkLV" TargetMode="External"/><Relationship Id="rId197" Type="http://schemas.openxmlformats.org/officeDocument/2006/relationships/hyperlink" Target="https://drive.google.com/open?id=1G3MHrL47IO81tFb0lGuMvSKxgeo6mWVp" TargetMode="External"/><Relationship Id="rId17" Type="http://schemas.openxmlformats.org/officeDocument/2006/relationships/hyperlink" Target="https://drive.google.com/open?id=11H7kgqYeNagjgy1I810tWrOvKg_nOh4O" TargetMode="External"/><Relationship Id="rId196" Type="http://schemas.openxmlformats.org/officeDocument/2006/relationships/hyperlink" Target="https://drive.google.com/open?id=1dzk6dJdLoRaTVVBH3zBGvEz8AW4M-C1z" TargetMode="External"/><Relationship Id="rId16" Type="http://schemas.openxmlformats.org/officeDocument/2006/relationships/hyperlink" Target="https://drive.google.com/open?id=1nUfjNx_1CY2XM4tTGae6lSN5TclEhIBn" TargetMode="External"/><Relationship Id="rId195" Type="http://schemas.openxmlformats.org/officeDocument/2006/relationships/hyperlink" Target="https://drive.google.com/open?id=1vBh_4_MbeBECukbo_AoMij-zYss8x8zk" TargetMode="External"/><Relationship Id="rId19" Type="http://schemas.openxmlformats.org/officeDocument/2006/relationships/hyperlink" Target="https://drive.google.com/open?id=1OdP-J4SCooLGhxoV7bFRU_1mRo_NcU1X" TargetMode="External"/><Relationship Id="rId18" Type="http://schemas.openxmlformats.org/officeDocument/2006/relationships/hyperlink" Target="https://drive.google.com/open?id=1rb7J3M6bx1lOfNBW1Wvnsx9SXDDHReCD" TargetMode="External"/><Relationship Id="rId199" Type="http://schemas.openxmlformats.org/officeDocument/2006/relationships/hyperlink" Target="https://drive.google.com/open?id=1tzbfll26alkGSi-wqjbLcwCYSEhEowkM" TargetMode="External"/><Relationship Id="rId84" Type="http://schemas.openxmlformats.org/officeDocument/2006/relationships/hyperlink" Target="https://drive.google.com/open?id=1JNgnX1KCw5SfJv9mzo7RYkZy0-UDfplv" TargetMode="External"/><Relationship Id="rId83" Type="http://schemas.openxmlformats.org/officeDocument/2006/relationships/hyperlink" Target="https://drive.google.com/open?id=1vwfFNzJEgF63u_3uGUpdnCD3SvnZ9TG6" TargetMode="External"/><Relationship Id="rId86" Type="http://schemas.openxmlformats.org/officeDocument/2006/relationships/hyperlink" Target="https://drive.google.com/open?id=1aEE2ncLyV7q7g0MRUMlwGu3cgXqi6W7u" TargetMode="External"/><Relationship Id="rId85" Type="http://schemas.openxmlformats.org/officeDocument/2006/relationships/hyperlink" Target="https://drive.google.com/open?id=1j0iQ8YwV1DOxHT917rngZ2F6PVKtEjnf" TargetMode="External"/><Relationship Id="rId88" Type="http://schemas.openxmlformats.org/officeDocument/2006/relationships/hyperlink" Target="https://drive.google.com/open?id=1oYmEiAXwu3WJ9I48tMQ53a6aHQHpc4oU" TargetMode="External"/><Relationship Id="rId150" Type="http://schemas.openxmlformats.org/officeDocument/2006/relationships/hyperlink" Target="https://drive.google.com/open?id=1vSwfyabCDRxlKlA1z8dYKtCCb8wmText" TargetMode="External"/><Relationship Id="rId271" Type="http://schemas.openxmlformats.org/officeDocument/2006/relationships/hyperlink" Target="https://drive.google.com/open?id=1Y04oFQ4KpAUyF8Ge0kpP2k1eJOOyOisv" TargetMode="External"/><Relationship Id="rId87" Type="http://schemas.openxmlformats.org/officeDocument/2006/relationships/hyperlink" Target="https://drive.google.com/open?id=1ET873BQv5m_1aUusbvvkkVeFP18w5c_7" TargetMode="External"/><Relationship Id="rId270" Type="http://schemas.openxmlformats.org/officeDocument/2006/relationships/hyperlink" Target="https://drive.google.com/open?id=1b-RnDa3DKN7SoAYxnKRAcW0ADgd2_AZ0" TargetMode="External"/><Relationship Id="rId89" Type="http://schemas.openxmlformats.org/officeDocument/2006/relationships/hyperlink" Target="https://drive.google.com/open?id=1lsRI-VsV4ia6Znpx9gd6DjWVjY90MPfQ" TargetMode="External"/><Relationship Id="rId80" Type="http://schemas.openxmlformats.org/officeDocument/2006/relationships/hyperlink" Target="https://drive.google.com/open?id=1y363lKD5p25fvcBxoKDcxPAtwnTv8JYE" TargetMode="External"/><Relationship Id="rId82" Type="http://schemas.openxmlformats.org/officeDocument/2006/relationships/hyperlink" Target="https://drive.google.com/open?id=1Q0MM_ZNfz0HJPytbEtyVBPwDLbP_s2yG" TargetMode="External"/><Relationship Id="rId81" Type="http://schemas.openxmlformats.org/officeDocument/2006/relationships/hyperlink" Target="https://drive.google.com/open?id=1TyHWI6_iEK3enKN2tbmeyvNlWwVWzrvg" TargetMode="External"/><Relationship Id="rId1" Type="http://schemas.openxmlformats.org/officeDocument/2006/relationships/hyperlink" Target="https://drive.google.com/open?id=1f-OYoCvfKVboTgbyfV9-T__P9DVA6Bag" TargetMode="External"/><Relationship Id="rId2" Type="http://schemas.openxmlformats.org/officeDocument/2006/relationships/hyperlink" Target="https://drive.google.com/open?id=1dPow_vImsOLjP2-7xXt0Og-cly925GA8" TargetMode="External"/><Relationship Id="rId3" Type="http://schemas.openxmlformats.org/officeDocument/2006/relationships/hyperlink" Target="https://drive.google.com/open?id=1A_rY5yzJBVJmR94FX1yg5_t5gVB_DXSb" TargetMode="External"/><Relationship Id="rId149" Type="http://schemas.openxmlformats.org/officeDocument/2006/relationships/hyperlink" Target="https://drive.google.com/open?id=1ZXIZD9K8mWaDc3ZsZqIC09iqmcql2GRP" TargetMode="External"/><Relationship Id="rId4" Type="http://schemas.openxmlformats.org/officeDocument/2006/relationships/hyperlink" Target="https://drive.google.com/open?id=1te4UZ77P0ET3zQMWcK4_mgXtL4Wtg6c1" TargetMode="External"/><Relationship Id="rId148" Type="http://schemas.openxmlformats.org/officeDocument/2006/relationships/hyperlink" Target="https://drive.google.com/open?id=1HR5dWFPfQ_dQxup7VUXDOeHu0nJtllZm" TargetMode="External"/><Relationship Id="rId269" Type="http://schemas.openxmlformats.org/officeDocument/2006/relationships/hyperlink" Target="https://drive.google.com/open?id=1xsGbYrX11rjFxyDiAfn0kTuU-R2L4YGH" TargetMode="External"/><Relationship Id="rId9" Type="http://schemas.openxmlformats.org/officeDocument/2006/relationships/hyperlink" Target="https://drive.google.com/open?id=1LtVb5StQBOZSj6eTAHvauqsoRLqbTSML" TargetMode="External"/><Relationship Id="rId143" Type="http://schemas.openxmlformats.org/officeDocument/2006/relationships/hyperlink" Target="https://drive.google.com/open?id=1X0PvA1C1H_x6vvPPVCM0i-whhqt3T6xL" TargetMode="External"/><Relationship Id="rId264" Type="http://schemas.openxmlformats.org/officeDocument/2006/relationships/hyperlink" Target="https://drive.google.com/open?id=1viomBrzK8Kp8NQ0Z8P1asuLr4DVCUImc" TargetMode="External"/><Relationship Id="rId142" Type="http://schemas.openxmlformats.org/officeDocument/2006/relationships/hyperlink" Target="https://drive.google.com/open?id=1N8yht7Ys9H8bA-pDsRLQJ4Ho7vpgQiPG" TargetMode="External"/><Relationship Id="rId263" Type="http://schemas.openxmlformats.org/officeDocument/2006/relationships/hyperlink" Target="https://drive.google.com/open?id=1gl2Xe16o5ZVHUq0OFim-C98d7UM7pG34" TargetMode="External"/><Relationship Id="rId141" Type="http://schemas.openxmlformats.org/officeDocument/2006/relationships/hyperlink" Target="https://drive.google.com/open?id=1ZSIGTTtzb67cWaIc5_ekIf-7v_3uRBj3" TargetMode="External"/><Relationship Id="rId262" Type="http://schemas.openxmlformats.org/officeDocument/2006/relationships/hyperlink" Target="https://drive.google.com/open?id=1NEABb1DKjqMFZtjQEwlqRXsDy_lO_eP0" TargetMode="External"/><Relationship Id="rId140" Type="http://schemas.openxmlformats.org/officeDocument/2006/relationships/hyperlink" Target="https://drive.google.com/open?id=17SnneMJ-3zXzCL3fOyQqaj17_RHXucR2" TargetMode="External"/><Relationship Id="rId261" Type="http://schemas.openxmlformats.org/officeDocument/2006/relationships/hyperlink" Target="https://drive.google.com/open?id=1L1A166S8qOVve3Yal_S0L93rLt1RCqrq" TargetMode="External"/><Relationship Id="rId5" Type="http://schemas.openxmlformats.org/officeDocument/2006/relationships/hyperlink" Target="https://drive.google.com/open?id=15TYXozFTRyBNIX5WGaCV5chE1JMaCzTu" TargetMode="External"/><Relationship Id="rId147" Type="http://schemas.openxmlformats.org/officeDocument/2006/relationships/hyperlink" Target="https://drive.google.com/open?id=1XM2lvDCyhE42o5o5m8WGMDnioMjh_iFH" TargetMode="External"/><Relationship Id="rId268" Type="http://schemas.openxmlformats.org/officeDocument/2006/relationships/hyperlink" Target="https://drive.google.com/open?id=1vVbbezW0fDR-TFA1oH9Ux6AzEqPuT-vg" TargetMode="External"/><Relationship Id="rId6" Type="http://schemas.openxmlformats.org/officeDocument/2006/relationships/hyperlink" Target="https://drive.google.com/open?id=1YTyNOJ7_z7nN8MOZXBQ4YY6emHTl66LK" TargetMode="External"/><Relationship Id="rId146" Type="http://schemas.openxmlformats.org/officeDocument/2006/relationships/hyperlink" Target="https://drive.google.com/open?id=1vc6-DsJ-oOeYCtSavaE2VYnFPy7mneTf" TargetMode="External"/><Relationship Id="rId267" Type="http://schemas.openxmlformats.org/officeDocument/2006/relationships/hyperlink" Target="https://drive.google.com/open?id=1xkd5vs6tKjfNDn4NOfqGMOe0TA0WjOJf" TargetMode="External"/><Relationship Id="rId7" Type="http://schemas.openxmlformats.org/officeDocument/2006/relationships/hyperlink" Target="https://drive.google.com/open?id=1gy0FQPeabBq-ml5PQ65lr2HoTYd8VEsm" TargetMode="External"/><Relationship Id="rId145" Type="http://schemas.openxmlformats.org/officeDocument/2006/relationships/hyperlink" Target="https://drive.google.com/open?id=1dF_Gci8DuQHp20qzrZl9-ET_S3NpU0wD" TargetMode="External"/><Relationship Id="rId266" Type="http://schemas.openxmlformats.org/officeDocument/2006/relationships/hyperlink" Target="https://drive.google.com/open?id=1AtTveYeq3jYE__nXj7R-xG7qlzGVE_E6" TargetMode="External"/><Relationship Id="rId8" Type="http://schemas.openxmlformats.org/officeDocument/2006/relationships/hyperlink" Target="https://drive.google.com/open?id=1jTYUSTQWkF-czCEtlVNQ8IJUCn3Xe2sD" TargetMode="External"/><Relationship Id="rId144" Type="http://schemas.openxmlformats.org/officeDocument/2006/relationships/hyperlink" Target="https://drive.google.com/open?id=12lbFXxeOevXeNSK4XGalXuoo3nEAwqhV" TargetMode="External"/><Relationship Id="rId265" Type="http://schemas.openxmlformats.org/officeDocument/2006/relationships/hyperlink" Target="https://drive.google.com/open?id=1XdMLSbkvb9hgu3G-a4oLa1yYske3pGFI" TargetMode="External"/><Relationship Id="rId73" Type="http://schemas.openxmlformats.org/officeDocument/2006/relationships/hyperlink" Target="https://drive.google.com/open?id=10-KVOKd_0wAVotI4GC5WZtDAJ2oc75FE" TargetMode="External"/><Relationship Id="rId72" Type="http://schemas.openxmlformats.org/officeDocument/2006/relationships/hyperlink" Target="https://drive.google.com/open?id=1De0fPzsbVyDJC5h3i6w8GAlec7zMoAgs" TargetMode="External"/><Relationship Id="rId75" Type="http://schemas.openxmlformats.org/officeDocument/2006/relationships/hyperlink" Target="https://drive.google.com/open?id=13m4LMknLDrIkz-Psft92ewlI0_okL1UN" TargetMode="External"/><Relationship Id="rId74" Type="http://schemas.openxmlformats.org/officeDocument/2006/relationships/hyperlink" Target="https://drive.google.com/open?id=1KLcDWbeT4v8goQTqpwbd_4Ji0zSWQhuU" TargetMode="External"/><Relationship Id="rId77" Type="http://schemas.openxmlformats.org/officeDocument/2006/relationships/hyperlink" Target="https://drive.google.com/open?id=1wspV7AdHB4qxDMT12iYFGjQmpELRa2Xv" TargetMode="External"/><Relationship Id="rId260" Type="http://schemas.openxmlformats.org/officeDocument/2006/relationships/hyperlink" Target="https://drive.google.com/open?id=145r5jwC1A-f-Nbru4oZ4C3V_C94_CWSs" TargetMode="External"/><Relationship Id="rId76" Type="http://schemas.openxmlformats.org/officeDocument/2006/relationships/hyperlink" Target="https://drive.google.com/open?id=1qwcwnxmjhOQ_Izu2iGjcAAtf5jQCWF6Q" TargetMode="External"/><Relationship Id="rId79" Type="http://schemas.openxmlformats.org/officeDocument/2006/relationships/hyperlink" Target="https://drive.google.com/open?id=1TM0kltsHhs8qGeu5Ho0_pxulRcQLzYxp" TargetMode="External"/><Relationship Id="rId78" Type="http://schemas.openxmlformats.org/officeDocument/2006/relationships/hyperlink" Target="https://drive.google.com/open?id=1L7K6pqnylAg2HHwQfs8rTSZBO7Bq7sUY" TargetMode="External"/><Relationship Id="rId71" Type="http://schemas.openxmlformats.org/officeDocument/2006/relationships/hyperlink" Target="https://drive.google.com/open?id=1cilI93zbffDfyHhHTCtxKnioSmIst-JM" TargetMode="External"/><Relationship Id="rId70" Type="http://schemas.openxmlformats.org/officeDocument/2006/relationships/hyperlink" Target="https://drive.google.com/open?id=1CPS2OpZ1_R1cGe8zEGGFQktRMtrTp3YY" TargetMode="External"/><Relationship Id="rId139" Type="http://schemas.openxmlformats.org/officeDocument/2006/relationships/hyperlink" Target="https://drive.google.com/open?id=1nDpJMWBqE9B_SmY0izeSh1kig0txSOFn" TargetMode="External"/><Relationship Id="rId138" Type="http://schemas.openxmlformats.org/officeDocument/2006/relationships/hyperlink" Target="https://drive.google.com/open?id=1R8ZRkW3B2vLvzHFlkP0lSrsI1u9cIHPh" TargetMode="External"/><Relationship Id="rId259" Type="http://schemas.openxmlformats.org/officeDocument/2006/relationships/hyperlink" Target="https://drive.google.com/open?id=1_4_KIVHm6oymnJ_eYBwPdjGhRdiD9qwg" TargetMode="External"/><Relationship Id="rId137" Type="http://schemas.openxmlformats.org/officeDocument/2006/relationships/hyperlink" Target="https://drive.google.com/open?id=1fwHO8hABYhAMOQBKLqntNsalr0AFBF3e" TargetMode="External"/><Relationship Id="rId258" Type="http://schemas.openxmlformats.org/officeDocument/2006/relationships/hyperlink" Target="https://drive.google.com/open?id=1-Vj2Iv8pmLxpE-qhfOWXQ2OJCmZ8Dil3" TargetMode="External"/><Relationship Id="rId132" Type="http://schemas.openxmlformats.org/officeDocument/2006/relationships/hyperlink" Target="https://drive.google.com/open?id=1DHhsfMIueqHMMedxtLOFTRuBNE56A2rD" TargetMode="External"/><Relationship Id="rId253" Type="http://schemas.openxmlformats.org/officeDocument/2006/relationships/hyperlink" Target="https://drive.google.com/open?id=1EzyG23TLt_3uogMWLRgzBSqzOlK6GfXs" TargetMode="External"/><Relationship Id="rId131" Type="http://schemas.openxmlformats.org/officeDocument/2006/relationships/hyperlink" Target="https://drive.google.com/open?id=18u9tkmYO11Px9EuGF4V8TcDXPqUiOzt5" TargetMode="External"/><Relationship Id="rId252" Type="http://schemas.openxmlformats.org/officeDocument/2006/relationships/hyperlink" Target="https://drive.google.com/open?id=14_2DWS0Hr8bmoZm-1V3JRIuJTOtifWoJ" TargetMode="External"/><Relationship Id="rId130" Type="http://schemas.openxmlformats.org/officeDocument/2006/relationships/hyperlink" Target="https://drive.google.com/open?id=1h-gdW4z8B2Ae41RBKi6SXJwJK8nYpARF" TargetMode="External"/><Relationship Id="rId251" Type="http://schemas.openxmlformats.org/officeDocument/2006/relationships/hyperlink" Target="https://drive.google.com/open?id=1OHYtkjhPkow7ia9SK03XUI0v5Z1wVk2L" TargetMode="External"/><Relationship Id="rId250" Type="http://schemas.openxmlformats.org/officeDocument/2006/relationships/hyperlink" Target="https://drive.google.com/open?id=1JejrlqAADyLmHrbD9OkTdYWK_JGdC35u" TargetMode="External"/><Relationship Id="rId136" Type="http://schemas.openxmlformats.org/officeDocument/2006/relationships/hyperlink" Target="https://drive.google.com/open?id=1nvfsvMaxmyNlI4SsBkFgjppBK8FKYkcO" TargetMode="External"/><Relationship Id="rId257" Type="http://schemas.openxmlformats.org/officeDocument/2006/relationships/hyperlink" Target="https://drive.google.com/open?id=10lgI4qvAR1xabZ1mFmN1e80RwWlnhTCe" TargetMode="External"/><Relationship Id="rId135" Type="http://schemas.openxmlformats.org/officeDocument/2006/relationships/hyperlink" Target="https://drive.google.com/open?id=1AUE1IH4_3rE_e4IV7o8kkio7QqDXSavT" TargetMode="External"/><Relationship Id="rId256" Type="http://schemas.openxmlformats.org/officeDocument/2006/relationships/hyperlink" Target="https://drive.google.com/open?id=1YAdPliVy9kM4ad9C3g6EELsOvK18u-y7" TargetMode="External"/><Relationship Id="rId134" Type="http://schemas.openxmlformats.org/officeDocument/2006/relationships/hyperlink" Target="https://drive.google.com/open?id=1UnpFtxvUNQ0yDoTBVm25zb5nkHBU0DC-" TargetMode="External"/><Relationship Id="rId255" Type="http://schemas.openxmlformats.org/officeDocument/2006/relationships/hyperlink" Target="https://drive.google.com/open?id=1EzqqZXLijbLjtmS_O9hb3qYQhh9ugFtB" TargetMode="External"/><Relationship Id="rId133" Type="http://schemas.openxmlformats.org/officeDocument/2006/relationships/hyperlink" Target="https://drive.google.com/open?id=1UBqvZpIGVz5RRNbMD5D3hWgIVEiq8irz" TargetMode="External"/><Relationship Id="rId254" Type="http://schemas.openxmlformats.org/officeDocument/2006/relationships/hyperlink" Target="https://drive.google.com/open?id=1h5j6SDlXvDPw0OcGyGXlo29tYglr5smD" TargetMode="External"/><Relationship Id="rId62" Type="http://schemas.openxmlformats.org/officeDocument/2006/relationships/hyperlink" Target="https://drive.google.com/open?id=1Iii0jo6QPqT_-lpMU0G95Ji0iUBNlaup" TargetMode="External"/><Relationship Id="rId61" Type="http://schemas.openxmlformats.org/officeDocument/2006/relationships/hyperlink" Target="https://drive.google.com/open?id=1TpebIY64gM8JUL8uIMiWmRNC4S6OfuUT" TargetMode="External"/><Relationship Id="rId64" Type="http://schemas.openxmlformats.org/officeDocument/2006/relationships/hyperlink" Target="https://drive.google.com/open?id=1FDFwITC6H3gWIIUiciuoUPowC3x4sRyv" TargetMode="External"/><Relationship Id="rId63" Type="http://schemas.openxmlformats.org/officeDocument/2006/relationships/hyperlink" Target="https://drive.google.com/open?id=18Sww1dDoO3CqEr1moPwpeZkhM-Ua7kAs" TargetMode="External"/><Relationship Id="rId66" Type="http://schemas.openxmlformats.org/officeDocument/2006/relationships/hyperlink" Target="https://drive.google.com/open?id=1cnP3WEgypLNiXnG_SseRaAF22ts3Dc9J" TargetMode="External"/><Relationship Id="rId172" Type="http://schemas.openxmlformats.org/officeDocument/2006/relationships/hyperlink" Target="https://drive.google.com/open?id=16T-TdwwVbfPEsIWMoAr-N1Ip5OFslaTM" TargetMode="External"/><Relationship Id="rId65" Type="http://schemas.openxmlformats.org/officeDocument/2006/relationships/hyperlink" Target="https://drive.google.com/open?id=1bem2CuYf5WTtStxhfBrDTfW2du6JaRsm" TargetMode="External"/><Relationship Id="rId171" Type="http://schemas.openxmlformats.org/officeDocument/2006/relationships/hyperlink" Target="https://drive.google.com/open?id=1FpDQYIXc2EV_YURui96QM7NL3nFpCyL3" TargetMode="External"/><Relationship Id="rId68" Type="http://schemas.openxmlformats.org/officeDocument/2006/relationships/hyperlink" Target="https://drive.google.com/open?id=1kRizajel3i1dkKgXIJMCpeHi8A7W6u_Y" TargetMode="External"/><Relationship Id="rId170" Type="http://schemas.openxmlformats.org/officeDocument/2006/relationships/hyperlink" Target="https://drive.google.com/open?id=1At1Hb4rNGdvJ6rS_HEVvJhY01yWykmwF" TargetMode="External"/><Relationship Id="rId67" Type="http://schemas.openxmlformats.org/officeDocument/2006/relationships/hyperlink" Target="https://drive.google.com/open?id=1DVn6mAdj2cLN2gQ54dbqiJPLYQfLlPOk" TargetMode="External"/><Relationship Id="rId60" Type="http://schemas.openxmlformats.org/officeDocument/2006/relationships/hyperlink" Target="https://drive.google.com/open?id=1gyke9CqWrU4Wc3HlZbUE3ZMw2Ju-hw1u" TargetMode="External"/><Relationship Id="rId165" Type="http://schemas.openxmlformats.org/officeDocument/2006/relationships/hyperlink" Target="https://drive.google.com/open?id=17_Su6aYUi3yTZi6U6nXBWwpmbKpfjg_v" TargetMode="External"/><Relationship Id="rId69" Type="http://schemas.openxmlformats.org/officeDocument/2006/relationships/hyperlink" Target="https://drive.google.com/open?id=1kN8_1pH2QocjCXWIy5glqqPUA9cWN9v_" TargetMode="External"/><Relationship Id="rId164" Type="http://schemas.openxmlformats.org/officeDocument/2006/relationships/hyperlink" Target="https://drive.google.com/open?id=15xSPUdWEsutw3B_hi6ScZ95FAa6NvEVn" TargetMode="External"/><Relationship Id="rId163" Type="http://schemas.openxmlformats.org/officeDocument/2006/relationships/hyperlink" Target="https://drive.google.com/open?id=1fAxF7ZptB8klBYV8iWyGV5fMuGThqQNB" TargetMode="External"/><Relationship Id="rId162" Type="http://schemas.openxmlformats.org/officeDocument/2006/relationships/hyperlink" Target="https://drive.google.com/open?id=1kWweF1BUtgk61LuV59US1gLFMQLXcGfH" TargetMode="External"/><Relationship Id="rId169" Type="http://schemas.openxmlformats.org/officeDocument/2006/relationships/hyperlink" Target="https://drive.google.com/open?id=1XkzKKmXG9QAxJ2ZI6BaAmz33YDUPd7SN" TargetMode="External"/><Relationship Id="rId168" Type="http://schemas.openxmlformats.org/officeDocument/2006/relationships/hyperlink" Target="https://drive.google.com/open?id=1WTMl3Vo1UIwu2p-ej_Cio-8qaOO2F9ht" TargetMode="External"/><Relationship Id="rId167" Type="http://schemas.openxmlformats.org/officeDocument/2006/relationships/hyperlink" Target="https://drive.google.com/open?id=14U0PkiLCA6c736YwznNxEYmKTPcy-YDs" TargetMode="External"/><Relationship Id="rId166" Type="http://schemas.openxmlformats.org/officeDocument/2006/relationships/hyperlink" Target="https://drive.google.com/open?id=1U9MNjOwXPUaW846Nm-RJmRNxYTzMOnQG" TargetMode="External"/><Relationship Id="rId51" Type="http://schemas.openxmlformats.org/officeDocument/2006/relationships/hyperlink" Target="https://drive.google.com/open?id=1623DT-571Nym2fTrxSqqYC9f5y16Jl7M" TargetMode="External"/><Relationship Id="rId50" Type="http://schemas.openxmlformats.org/officeDocument/2006/relationships/hyperlink" Target="https://drive.google.com/open?id=1ntvP4P4NRgV7PRup059r6HtYCCRznbsq" TargetMode="External"/><Relationship Id="rId53" Type="http://schemas.openxmlformats.org/officeDocument/2006/relationships/hyperlink" Target="https://drive.google.com/open?id=1fXxEDwY10X00ES6ca8E3R81I6d0TpPt8" TargetMode="External"/><Relationship Id="rId52" Type="http://schemas.openxmlformats.org/officeDocument/2006/relationships/hyperlink" Target="https://drive.google.com/open?id=1qqFeJe6RUgBTbp-BecOT926jEiB8IGtT" TargetMode="External"/><Relationship Id="rId55" Type="http://schemas.openxmlformats.org/officeDocument/2006/relationships/hyperlink" Target="https://drive.google.com/open?id=1dOcAyXo-c28u8NhCzCQ8zn5Iig6ZSfv4" TargetMode="External"/><Relationship Id="rId161" Type="http://schemas.openxmlformats.org/officeDocument/2006/relationships/hyperlink" Target="https://drive.google.com/open?id=1R48c3To5QUr5fAb8grLlPmtPXJD2Xp_Q" TargetMode="External"/><Relationship Id="rId54" Type="http://schemas.openxmlformats.org/officeDocument/2006/relationships/hyperlink" Target="https://drive.google.com/open?id=1X2evN_3VUXCAc397aP9j1w-rdFRXe6tf" TargetMode="External"/><Relationship Id="rId160" Type="http://schemas.openxmlformats.org/officeDocument/2006/relationships/hyperlink" Target="https://drive.google.com/open?id=1QsTt366DR7MqfytQCLTifGpd_nK6iSwf" TargetMode="External"/><Relationship Id="rId281" Type="http://schemas.openxmlformats.org/officeDocument/2006/relationships/drawing" Target="../drawings/drawing1.xml"/><Relationship Id="rId57" Type="http://schemas.openxmlformats.org/officeDocument/2006/relationships/hyperlink" Target="https://drive.google.com/open?id=1aopDWtXzhBQLOq91pemOINrMrYhWMFWG" TargetMode="External"/><Relationship Id="rId280" Type="http://schemas.openxmlformats.org/officeDocument/2006/relationships/hyperlink" Target="https://drive.google.com/open?id=1j2iY-XAbZUJhbXya8WqZKtEvwmRrKt3D" TargetMode="External"/><Relationship Id="rId56" Type="http://schemas.openxmlformats.org/officeDocument/2006/relationships/hyperlink" Target="https://drive.google.com/open?id=1ll5jCWL8cyKGWkUbQFXwN1pdp-ONyQd9" TargetMode="External"/><Relationship Id="rId159" Type="http://schemas.openxmlformats.org/officeDocument/2006/relationships/hyperlink" Target="https://drive.google.com/open?id=1xC310oh2Eu5osLSlpcDcDCarOp8Z9vpK" TargetMode="External"/><Relationship Id="rId59" Type="http://schemas.openxmlformats.org/officeDocument/2006/relationships/hyperlink" Target="https://drive.google.com/open?id=1WJ00t6sIs4TOSz4uaJtSkgUXbeCbJaQ7" TargetMode="External"/><Relationship Id="rId154" Type="http://schemas.openxmlformats.org/officeDocument/2006/relationships/hyperlink" Target="https://drive.google.com/open?id=1iO86KRHTJQwJkkKLTM1L5kQWZ_giRxcc" TargetMode="External"/><Relationship Id="rId275" Type="http://schemas.openxmlformats.org/officeDocument/2006/relationships/hyperlink" Target="https://drive.google.com/open?id=16vho8xL-qjs2QwvkoEcku9u8lpCU9Hlw" TargetMode="External"/><Relationship Id="rId58" Type="http://schemas.openxmlformats.org/officeDocument/2006/relationships/hyperlink" Target="https://drive.google.com/open?id=1pkNLzzTxhMdIOlvtmA1imAejW16nsDkr" TargetMode="External"/><Relationship Id="rId153" Type="http://schemas.openxmlformats.org/officeDocument/2006/relationships/hyperlink" Target="https://drive.google.com/open?id=1DEfKHUcA6tsjToxUrI7lVVnHXfDkkxrk" TargetMode="External"/><Relationship Id="rId274" Type="http://schemas.openxmlformats.org/officeDocument/2006/relationships/hyperlink" Target="https://drive.google.com/open?id=1MftpWFJOpL2kDzHP3Kw3YDAfahiZBg97" TargetMode="External"/><Relationship Id="rId152" Type="http://schemas.openxmlformats.org/officeDocument/2006/relationships/hyperlink" Target="https://drive.google.com/open?id=1ji0D6n59AAm-isgmFuQ6eEZA7Rf8e2QA" TargetMode="External"/><Relationship Id="rId273" Type="http://schemas.openxmlformats.org/officeDocument/2006/relationships/hyperlink" Target="https://drive.google.com/open?id=1T8ifj5ntPrNB1Z7uEx2NkFmdGolUv6em" TargetMode="External"/><Relationship Id="rId151" Type="http://schemas.openxmlformats.org/officeDocument/2006/relationships/hyperlink" Target="https://drive.google.com/open?id=178N63HHDDlMgnPv7_zSeFFxPJVnTa1Eo" TargetMode="External"/><Relationship Id="rId272" Type="http://schemas.openxmlformats.org/officeDocument/2006/relationships/hyperlink" Target="https://drive.google.com/open?id=19VtxQZwJVq4AxuN59jMM3dH1dQr1r0hb" TargetMode="External"/><Relationship Id="rId158" Type="http://schemas.openxmlformats.org/officeDocument/2006/relationships/hyperlink" Target="https://drive.google.com/open?id=1BMxuWu11ycUq9KVjAFiVDaUWngXU12m8" TargetMode="External"/><Relationship Id="rId279" Type="http://schemas.openxmlformats.org/officeDocument/2006/relationships/hyperlink" Target="https://drive.google.com/open?id=15KrKDYrRGwwFYcCFIYwPR5A-0AG1lE88" TargetMode="External"/><Relationship Id="rId157" Type="http://schemas.openxmlformats.org/officeDocument/2006/relationships/hyperlink" Target="https://drive.google.com/open?id=1cHMzdszS-10LwR3v0ULBZ95BhFePACjQ" TargetMode="External"/><Relationship Id="rId278" Type="http://schemas.openxmlformats.org/officeDocument/2006/relationships/hyperlink" Target="https://drive.google.com/open?id=1cjIg2e68zbyAFaJ55VjT7xkZD6o9UIk3" TargetMode="External"/><Relationship Id="rId156" Type="http://schemas.openxmlformats.org/officeDocument/2006/relationships/hyperlink" Target="https://drive.google.com/open?id=11REbblXjVz_rIewZcK5TFerUEQvv7_Ek" TargetMode="External"/><Relationship Id="rId277" Type="http://schemas.openxmlformats.org/officeDocument/2006/relationships/hyperlink" Target="https://drive.google.com/open?id=1fDeOUB-XJUr9gjmsf3vWxaFs9O8_tQYj" TargetMode="External"/><Relationship Id="rId155" Type="http://schemas.openxmlformats.org/officeDocument/2006/relationships/hyperlink" Target="https://drive.google.com/open?id=1OrDGkPkQXyqQ-180usjvzkgu7kOXAfku" TargetMode="External"/><Relationship Id="rId276" Type="http://schemas.openxmlformats.org/officeDocument/2006/relationships/hyperlink" Target="https://drive.google.com/open?id=1pOxjoLsOOOlt2lQfbyijcmw0mI4u4jIH" TargetMode="External"/><Relationship Id="rId107" Type="http://schemas.openxmlformats.org/officeDocument/2006/relationships/hyperlink" Target="https://drive.google.com/open?id=173RE5CEMtZXUy9SNNuJAeRhQh-d1XrFJ" TargetMode="External"/><Relationship Id="rId228" Type="http://schemas.openxmlformats.org/officeDocument/2006/relationships/hyperlink" Target="https://drive.google.com/open?id=1E5oKWUFuxXCJTF4Mg3CwjHO-ga1LOHeN" TargetMode="External"/><Relationship Id="rId106" Type="http://schemas.openxmlformats.org/officeDocument/2006/relationships/hyperlink" Target="https://drive.google.com/open?id=1_XiqsrXAm1Pt4cZ5LC7n95mMGeHGeUSr" TargetMode="External"/><Relationship Id="rId227" Type="http://schemas.openxmlformats.org/officeDocument/2006/relationships/hyperlink" Target="https://drive.google.com/open?id=19g94vQvkVxeogIx9wCo7VhjwFmRm8TxW" TargetMode="External"/><Relationship Id="rId105" Type="http://schemas.openxmlformats.org/officeDocument/2006/relationships/hyperlink" Target="https://drive.google.com/open?id=1ki7bw2AGqzJIWBpExZu4E9DZGcq7yD_6" TargetMode="External"/><Relationship Id="rId226" Type="http://schemas.openxmlformats.org/officeDocument/2006/relationships/hyperlink" Target="https://drive.google.com/open?id=144FKo5LV6YJ_wn-ZRlU-RagmDt8QYqnN" TargetMode="External"/><Relationship Id="rId104" Type="http://schemas.openxmlformats.org/officeDocument/2006/relationships/hyperlink" Target="https://drive.google.com/open?id=1jnx0QZRCwYYoHo4C4UnxZKEdLXeSJJPF" TargetMode="External"/><Relationship Id="rId225" Type="http://schemas.openxmlformats.org/officeDocument/2006/relationships/hyperlink" Target="https://drive.google.com/open?id=1CjgiPXDKFVn7mUmXOHthfp96lOM8ZIdI" TargetMode="External"/><Relationship Id="rId109" Type="http://schemas.openxmlformats.org/officeDocument/2006/relationships/hyperlink" Target="https://drive.google.com/open?id=1A0ruJm-lvQXb_nmBA_ohT9AT3miJaDeD" TargetMode="External"/><Relationship Id="rId108" Type="http://schemas.openxmlformats.org/officeDocument/2006/relationships/hyperlink" Target="https://drive.google.com/open?id=1efLCMnwujMT8heDoatI8OkutakS4PaSf" TargetMode="External"/><Relationship Id="rId229" Type="http://schemas.openxmlformats.org/officeDocument/2006/relationships/hyperlink" Target="https://drive.google.com/open?id=1kB1xwI1YFg3KxU_VrJT8CZksIy5yTC7e" TargetMode="External"/><Relationship Id="rId220" Type="http://schemas.openxmlformats.org/officeDocument/2006/relationships/hyperlink" Target="https://drive.google.com/open?id=1G512GKgh5kTUkqGTb4mhyXK1RfpMZ1_G" TargetMode="External"/><Relationship Id="rId103" Type="http://schemas.openxmlformats.org/officeDocument/2006/relationships/hyperlink" Target="https://drive.google.com/open?id=1GDdkjTaRMDk4Fd_vh8xSfGQjA8KFj7j0" TargetMode="External"/><Relationship Id="rId224" Type="http://schemas.openxmlformats.org/officeDocument/2006/relationships/hyperlink" Target="https://www.researchgate.net/publication/374798414_Barriers_to_Corporate_Sustainability_in_the_US" TargetMode="External"/><Relationship Id="rId102" Type="http://schemas.openxmlformats.org/officeDocument/2006/relationships/hyperlink" Target="https://drive.google.com/open?id=1SuUf9cdaU3LbVjb4E8xY24d1xhT6tc0b" TargetMode="External"/><Relationship Id="rId223" Type="http://schemas.openxmlformats.org/officeDocument/2006/relationships/hyperlink" Target="https://drive.google.com/open?id=123zrFgwU59jWDCfoxRMijFg8_d3yzGqw" TargetMode="External"/><Relationship Id="rId101" Type="http://schemas.openxmlformats.org/officeDocument/2006/relationships/hyperlink" Target="https://drive.google.com/open?id=1muUcvvTIIz_uV6lHfiHuCLI_nbj5F3tW" TargetMode="External"/><Relationship Id="rId222" Type="http://schemas.openxmlformats.org/officeDocument/2006/relationships/hyperlink" Target="https://drive.google.com/open?id=1Mu9WwA9sroKTzzllPhWxMFlmVYJj4DPB" TargetMode="External"/><Relationship Id="rId100" Type="http://schemas.openxmlformats.org/officeDocument/2006/relationships/hyperlink" Target="https://drive.google.com/open?id=1W5d5V07POp--_kB4h_3t-Yu-5iLJ9YB6" TargetMode="External"/><Relationship Id="rId221" Type="http://schemas.openxmlformats.org/officeDocument/2006/relationships/hyperlink" Target="https://drive.google.com/open?id=1KypDwTNt1hscWlPaA5Q9wX_XLeOfkqsW" TargetMode="External"/><Relationship Id="rId217" Type="http://schemas.openxmlformats.org/officeDocument/2006/relationships/hyperlink" Target="https://drive.google.com/open?id=1LXt_nunC5PJtZ7dXMeQ3XaUy4dyYS5XI" TargetMode="External"/><Relationship Id="rId216" Type="http://schemas.openxmlformats.org/officeDocument/2006/relationships/hyperlink" Target="https://drive.google.com/open?id=1cq7vQ5IS7RjWAwiovnX_ot0VWBScoJFt" TargetMode="External"/><Relationship Id="rId215" Type="http://schemas.openxmlformats.org/officeDocument/2006/relationships/hyperlink" Target="https://drive.google.com/open?id=1SOj-jJOEaCk4T3U1hMzykaldVn_jlcU4" TargetMode="External"/><Relationship Id="rId214" Type="http://schemas.openxmlformats.org/officeDocument/2006/relationships/hyperlink" Target="https://drive.google.com/open?id=1yP-Q014ObKr1_vvMLt4fLXx5_u7j_gdl" TargetMode="External"/><Relationship Id="rId219" Type="http://schemas.openxmlformats.org/officeDocument/2006/relationships/hyperlink" Target="https://drive.google.com/open?id=1-itfCbE0Gdc4CrOioZjpZxP_uABaRdZC" TargetMode="External"/><Relationship Id="rId218" Type="http://schemas.openxmlformats.org/officeDocument/2006/relationships/hyperlink" Target="https://drive.google.com/open?id=1cZXt1cWkk8o1iQPu8b2qZtNnxDZBk4s4" TargetMode="External"/><Relationship Id="rId213" Type="http://schemas.openxmlformats.org/officeDocument/2006/relationships/hyperlink" Target="https://drive.google.com/open?id=1GStBsuNs_wgOqhyHAlF5FA6L6z19Dm5R" TargetMode="External"/><Relationship Id="rId212" Type="http://schemas.openxmlformats.org/officeDocument/2006/relationships/hyperlink" Target="https://drive.google.com/open?id=18fX81uvX-4E7vawL-wQuepsfo8pfPMy_" TargetMode="External"/><Relationship Id="rId211" Type="http://schemas.openxmlformats.org/officeDocument/2006/relationships/hyperlink" Target="https://drive.google.com/open?id=1sYVMr2j-ZvnsnNmkq5RkXypCHwR5b9gm" TargetMode="External"/><Relationship Id="rId210" Type="http://schemas.openxmlformats.org/officeDocument/2006/relationships/hyperlink" Target="https://drive.google.com/open?id=1ztzXp8g76ZIUSYzn9lPm2XS0cXbQqcnu" TargetMode="External"/><Relationship Id="rId129" Type="http://schemas.openxmlformats.org/officeDocument/2006/relationships/hyperlink" Target="https://drive.google.com/open?id=1tGjSOlGMhM_KCjrhSm6OO6m8BLRkmj_g" TargetMode="External"/><Relationship Id="rId128" Type="http://schemas.openxmlformats.org/officeDocument/2006/relationships/hyperlink" Target="https://drive.google.com/open?id=1yKJjqYXEIwH89MZbA0T_CfBVJ1y8AjIz" TargetMode="External"/><Relationship Id="rId249" Type="http://schemas.openxmlformats.org/officeDocument/2006/relationships/hyperlink" Target="https://drive.google.com/open?id=1y-B2cPZFs4CkrebX05uRLAdCKulmcImT" TargetMode="External"/><Relationship Id="rId127" Type="http://schemas.openxmlformats.org/officeDocument/2006/relationships/hyperlink" Target="https://drive.google.com/open?id=10Naj8Q-Hbq1BUojpbEVxdVlt5pL3WZpO" TargetMode="External"/><Relationship Id="rId248" Type="http://schemas.openxmlformats.org/officeDocument/2006/relationships/hyperlink" Target="https://drive.google.com/open?id=1KxFQp1D9N5_kRJdL6S43KmIwkmjm_Fui" TargetMode="External"/><Relationship Id="rId126" Type="http://schemas.openxmlformats.org/officeDocument/2006/relationships/hyperlink" Target="https://drive.google.com/open?id=1L5pyIOM-00WmPJ-UUbamSOx93ywf0DC8" TargetMode="External"/><Relationship Id="rId247" Type="http://schemas.openxmlformats.org/officeDocument/2006/relationships/hyperlink" Target="https://drive.google.com/open?id=1-zJuwqyRP6su0_Mvpnp7i4k_uJkfMb4N" TargetMode="External"/><Relationship Id="rId121" Type="http://schemas.openxmlformats.org/officeDocument/2006/relationships/hyperlink" Target="https://drive.google.com/open?id=1FMrC_V0HjnR8iN850vElSXT2AMKoT-rn" TargetMode="External"/><Relationship Id="rId242" Type="http://schemas.openxmlformats.org/officeDocument/2006/relationships/hyperlink" Target="https://drive.google.com/open?id=1sdF35CcQEeccDFBhHw5sLlItt49bquSR" TargetMode="External"/><Relationship Id="rId120" Type="http://schemas.openxmlformats.org/officeDocument/2006/relationships/hyperlink" Target="https://drive.google.com/open?id=1Rpi5GCR3_4IuF2cGCXBNTciIatw-qjgY" TargetMode="External"/><Relationship Id="rId241" Type="http://schemas.openxmlformats.org/officeDocument/2006/relationships/hyperlink" Target="https://drive.google.com/open?id=1pDq6086vc-tHEJWFAJGrFeKf36t7oz_a" TargetMode="External"/><Relationship Id="rId240" Type="http://schemas.openxmlformats.org/officeDocument/2006/relationships/hyperlink" Target="https://drive.google.com/open?id=1IVhlQI9hPPDqjOw5OtPMNgJYy5FV98P-" TargetMode="External"/><Relationship Id="rId125" Type="http://schemas.openxmlformats.org/officeDocument/2006/relationships/hyperlink" Target="https://drive.google.com/open?id=1AqAAtm-sbabrjPQbuGyTcqCfJS6YdOXk" TargetMode="External"/><Relationship Id="rId246" Type="http://schemas.openxmlformats.org/officeDocument/2006/relationships/hyperlink" Target="https://drive.google.com/open?id=1KpFJn6VMPLWj51nQdnAXmx4xl6yiiEOf" TargetMode="External"/><Relationship Id="rId124" Type="http://schemas.openxmlformats.org/officeDocument/2006/relationships/hyperlink" Target="https://drive.google.com/open?id=1CNkSlcD87gemBBI7x1-PUYcfAA2sQbIT" TargetMode="External"/><Relationship Id="rId245" Type="http://schemas.openxmlformats.org/officeDocument/2006/relationships/hyperlink" Target="https://drive.google.com/open?id=1SwP8MreBIurJzXhRTl4mkg5cA6XcAtuX" TargetMode="External"/><Relationship Id="rId123" Type="http://schemas.openxmlformats.org/officeDocument/2006/relationships/hyperlink" Target="https://drive.google.com/open?id=1Cv0rYwvxZOSyRz4q4R9b09QqRvIMloaB" TargetMode="External"/><Relationship Id="rId244" Type="http://schemas.openxmlformats.org/officeDocument/2006/relationships/hyperlink" Target="https://drive.google.com/open?id=15V3mma2qRWzwLrra8p7hqOewmpN4h9sf" TargetMode="External"/><Relationship Id="rId122" Type="http://schemas.openxmlformats.org/officeDocument/2006/relationships/hyperlink" Target="https://drive.google.com/open?id=1MhHgxpNdlVYPpvRkedE3wFtPpKrfMBmV" TargetMode="External"/><Relationship Id="rId243" Type="http://schemas.openxmlformats.org/officeDocument/2006/relationships/hyperlink" Target="https://drive.google.com/open?id=19-V6up88DdmwNd7JvjRWCq35OujLMKYg" TargetMode="External"/><Relationship Id="rId95" Type="http://schemas.openxmlformats.org/officeDocument/2006/relationships/hyperlink" Target="https://drive.google.com/open?id=1svy2-4M4DwWxUov5U-TBouFrsfz_n74-" TargetMode="External"/><Relationship Id="rId94" Type="http://schemas.openxmlformats.org/officeDocument/2006/relationships/hyperlink" Target="https://drive.google.com/open?id=1Oop7PLT_wMqtNBXZ9jz8DRibCTGtLnNI" TargetMode="External"/><Relationship Id="rId97" Type="http://schemas.openxmlformats.org/officeDocument/2006/relationships/hyperlink" Target="https://drive.google.com/open?id=1EbkPrwsUE4VQFf5xTgrzkABbLDtb9gTG" TargetMode="External"/><Relationship Id="rId96" Type="http://schemas.openxmlformats.org/officeDocument/2006/relationships/hyperlink" Target="https://drive.google.com/open?id=1koSwQFDHfE0FrMHyIqGT6lYUrpJ1IS6O" TargetMode="External"/><Relationship Id="rId99" Type="http://schemas.openxmlformats.org/officeDocument/2006/relationships/hyperlink" Target="https://drive.google.com/open?id=1sznTTlYaDwNhYLPFILPOTFtaMWI8t_fF" TargetMode="External"/><Relationship Id="rId98" Type="http://schemas.openxmlformats.org/officeDocument/2006/relationships/hyperlink" Target="https://drive.google.com/open?id=1CGjmYomD5dBf9DfUdRD4EPhJBdVT_9rK" TargetMode="External"/><Relationship Id="rId91" Type="http://schemas.openxmlformats.org/officeDocument/2006/relationships/hyperlink" Target="https://drive.google.com/open?id=1RLSKB42EfjJhHY8WzpdVRovwx5ct-v_X" TargetMode="External"/><Relationship Id="rId90" Type="http://schemas.openxmlformats.org/officeDocument/2006/relationships/hyperlink" Target="https://drive.google.com/open?id=15Ra80lo1b3nc0h10B_9grh78jpsumC6U" TargetMode="External"/><Relationship Id="rId93" Type="http://schemas.openxmlformats.org/officeDocument/2006/relationships/hyperlink" Target="https://drive.google.com/open?id=165fWzTgWt_0p3VHrns3YQb9itQrkbhhd" TargetMode="External"/><Relationship Id="rId92" Type="http://schemas.openxmlformats.org/officeDocument/2006/relationships/hyperlink" Target="https://drive.google.com/open?id=16KtQVvINBR_h_wylmg1kV6GO_EAItsfg" TargetMode="External"/><Relationship Id="rId118" Type="http://schemas.openxmlformats.org/officeDocument/2006/relationships/hyperlink" Target="https://drive.google.com/open?id=13LFQgg47KVT2pkWt3eb-8l_L358xM2jS" TargetMode="External"/><Relationship Id="rId239" Type="http://schemas.openxmlformats.org/officeDocument/2006/relationships/hyperlink" Target="https://drive.google.com/open?id=1yikk_rFGOC7boyPcsiMgUOINNlXPuHcg" TargetMode="External"/><Relationship Id="rId117" Type="http://schemas.openxmlformats.org/officeDocument/2006/relationships/hyperlink" Target="https://drive.google.com/open?id=1Kd7Hn6RcyuIcsh_PIfH2oofKcWFPqyp1" TargetMode="External"/><Relationship Id="rId238" Type="http://schemas.openxmlformats.org/officeDocument/2006/relationships/hyperlink" Target="https://drive.google.com/open?id=1S8yUHffBe0h3cRiluALTQm97ZwQyVcmS" TargetMode="External"/><Relationship Id="rId116" Type="http://schemas.openxmlformats.org/officeDocument/2006/relationships/hyperlink" Target="https://drive.google.com/open?id=1oGO9RNrFN3YItfsXSaEaY7Ilv8EU_A1X" TargetMode="External"/><Relationship Id="rId237" Type="http://schemas.openxmlformats.org/officeDocument/2006/relationships/hyperlink" Target="https://drive.google.com/open?id=1kUL5JG-XCYfHbYSGHDX8tMfw2yxJ2zDF" TargetMode="External"/><Relationship Id="rId115" Type="http://schemas.openxmlformats.org/officeDocument/2006/relationships/hyperlink" Target="https://drive.google.com/open?id=1yzhHYmvAdjhl3PEK8eWQbdFSeBE7A2sP" TargetMode="External"/><Relationship Id="rId236" Type="http://schemas.openxmlformats.org/officeDocument/2006/relationships/hyperlink" Target="https://drive.google.com/open?id=1Y9J4L4GXDQ-Ao_5mV0JVmKJyYVgTEGOw" TargetMode="External"/><Relationship Id="rId119" Type="http://schemas.openxmlformats.org/officeDocument/2006/relationships/hyperlink" Target="https://drive.google.com/open?id=1m1bkcCwex77sTJfqkS264CaHJPikYNSx" TargetMode="External"/><Relationship Id="rId110" Type="http://schemas.openxmlformats.org/officeDocument/2006/relationships/hyperlink" Target="https://drive.google.com/open?id=1tHU1TJzAqMEoiPuiaCAljtqHLo5P-G1N" TargetMode="External"/><Relationship Id="rId231" Type="http://schemas.openxmlformats.org/officeDocument/2006/relationships/hyperlink" Target="https://drive.google.com/open?id=1ekrMRPMZD583zv8WEzsLXpH35NCfrcxp" TargetMode="External"/><Relationship Id="rId230" Type="http://schemas.openxmlformats.org/officeDocument/2006/relationships/hyperlink" Target="https://drive.google.com/open?id=1Q_60OaCRNIshmx_rkgKHPKIXO_4cWOjO" TargetMode="External"/><Relationship Id="rId114" Type="http://schemas.openxmlformats.org/officeDocument/2006/relationships/hyperlink" Target="https://drive.google.com/open?id=1yhGfCSdpkPkcPF3bntMbqDHmtokgugFi" TargetMode="External"/><Relationship Id="rId235" Type="http://schemas.openxmlformats.org/officeDocument/2006/relationships/hyperlink" Target="https://drive.google.com/open?id=1nCj8ks99XA_deMtUW08hBdB1uAjI5Nic" TargetMode="External"/><Relationship Id="rId113" Type="http://schemas.openxmlformats.org/officeDocument/2006/relationships/hyperlink" Target="https://drive.google.com/open?id=1Y2bYVNw20Dli7tmcQzwx4tPjnhOMCpO0" TargetMode="External"/><Relationship Id="rId234" Type="http://schemas.openxmlformats.org/officeDocument/2006/relationships/hyperlink" Target="https://drive.google.com/open?id=1Kf1CDnJq0N2L8y_nWtbIZMQpEPrnmDHI" TargetMode="External"/><Relationship Id="rId112" Type="http://schemas.openxmlformats.org/officeDocument/2006/relationships/hyperlink" Target="https://drive.google.com/open?id=1nXSZbskfKIgvcgCbNnqhvsnF7zzpOpnV" TargetMode="External"/><Relationship Id="rId233" Type="http://schemas.openxmlformats.org/officeDocument/2006/relationships/hyperlink" Target="https://drive.google.com/open?id=1OtR_U3Lluq4UVG9FEXy35BspSJ_Q6dvV" TargetMode="External"/><Relationship Id="rId111" Type="http://schemas.openxmlformats.org/officeDocument/2006/relationships/hyperlink" Target="https://drive.google.com/open?id=1Uz5ygl7IBz9p-i84ISIavOx-nVWEb4nq" TargetMode="External"/><Relationship Id="rId232" Type="http://schemas.openxmlformats.org/officeDocument/2006/relationships/hyperlink" Target="https://drive.google.com/open?id=12Lc0BVFHvLMvyx8t5CIkwC5gUz6raCo9" TargetMode="External"/><Relationship Id="rId206" Type="http://schemas.openxmlformats.org/officeDocument/2006/relationships/hyperlink" Target="https://drive.google.com/open?id=1-zXgdVuVBOaT301Zok6np7764KizKiDo" TargetMode="External"/><Relationship Id="rId205" Type="http://schemas.openxmlformats.org/officeDocument/2006/relationships/hyperlink" Target="https://drive.google.com/open?id=1zfOBdMcLMSecnsWc99uMuu0aO_oNRrB1" TargetMode="External"/><Relationship Id="rId204" Type="http://schemas.openxmlformats.org/officeDocument/2006/relationships/hyperlink" Target="https://drive.google.com/open?id=1EtZ6Q7PTF5YwChn0VOTeIt-5n10TTPJb" TargetMode="External"/><Relationship Id="rId203" Type="http://schemas.openxmlformats.org/officeDocument/2006/relationships/hyperlink" Target="https://drive.google.com/open?id=1w2cGlyFEk5j922bhI83nlFSLHAKdrLsv" TargetMode="External"/><Relationship Id="rId209" Type="http://schemas.openxmlformats.org/officeDocument/2006/relationships/hyperlink" Target="https://drive.google.com/open?id=1VvBuOt0MEPy7S-_OczMVTebOrZUst0Tw" TargetMode="External"/><Relationship Id="rId208" Type="http://schemas.openxmlformats.org/officeDocument/2006/relationships/hyperlink" Target="https://drive.google.com/open?id=14NnRrzY9v_edqrBP5lvO7Y3XEaeyhVl4" TargetMode="External"/><Relationship Id="rId207" Type="http://schemas.openxmlformats.org/officeDocument/2006/relationships/hyperlink" Target="https://drive.google.com/open?id=10fZmNxux1-FDFEww1weqq6BkrxlGw31o" TargetMode="External"/><Relationship Id="rId202" Type="http://schemas.openxmlformats.org/officeDocument/2006/relationships/hyperlink" Target="https://drive.google.com/open?id=1VYorggc9si7JRhBJiTXWrI-iFg9zUEJw" TargetMode="External"/><Relationship Id="rId201" Type="http://schemas.openxmlformats.org/officeDocument/2006/relationships/hyperlink" Target="https://drive.google.com/open?id=1wE_CTaNOaWjmOYfJ-wTz62EGEoHbB4zQ" TargetMode="External"/><Relationship Id="rId200" Type="http://schemas.openxmlformats.org/officeDocument/2006/relationships/hyperlink" Target="https://drive.google.com/open?id=1a0UFtMh_xF7JWA4VerSHquxGDfAdCa48" TargetMode="External"/></Relationships>
</file>

<file path=xl/worksheets/_rels/sheet10.xml.rels><?xml version="1.0" encoding="UTF-8" standalone="yes"?><Relationships xmlns="http://schemas.openxmlformats.org/package/2006/relationships"><Relationship Id="rId11" Type="http://schemas.openxmlformats.org/officeDocument/2006/relationships/hyperlink" Target="https://drive.google.com/open?id=1CNkSlcD87gemBBI7x1-PUYcfAA2sQbIT" TargetMode="External"/><Relationship Id="rId10" Type="http://schemas.openxmlformats.org/officeDocument/2006/relationships/hyperlink" Target="https://drive.google.com/open?id=1AqAAtm-sbabrjPQbuGyTcqCfJS6YdOXk" TargetMode="External"/><Relationship Id="rId12" Type="http://schemas.openxmlformats.org/officeDocument/2006/relationships/drawing" Target="../drawings/drawing10.xml"/><Relationship Id="rId1" Type="http://schemas.openxmlformats.org/officeDocument/2006/relationships/hyperlink" Target="https://drive.google.com/open?id=1Uz5ygl7IBz9p-i84ISIavOx-nVWEb4nq" TargetMode="External"/><Relationship Id="rId2" Type="http://schemas.openxmlformats.org/officeDocument/2006/relationships/hyperlink" Target="https://drive.google.com/open?id=1rb7J3M6bx1lOfNBW1Wvnsx9SXDDHReCD" TargetMode="External"/><Relationship Id="rId3" Type="http://schemas.openxmlformats.org/officeDocument/2006/relationships/hyperlink" Target="https://drive.google.com/open?id=1nXSZbskfKIgvcgCbNnqhvsnF7zzpOpnV" TargetMode="External"/><Relationship Id="rId4" Type="http://schemas.openxmlformats.org/officeDocument/2006/relationships/hyperlink" Target="https://drive.google.com/open?id=1yhGfCSdpkPkcPF3bntMbqDHmtokgugFi" TargetMode="External"/><Relationship Id="rId9" Type="http://schemas.openxmlformats.org/officeDocument/2006/relationships/hyperlink" Target="https://drive.google.com/open?id=1tHU1TJzAqMEoiPuiaCAljtqHLo5P-G1N" TargetMode="External"/><Relationship Id="rId5" Type="http://schemas.openxmlformats.org/officeDocument/2006/relationships/hyperlink" Target="https://drive.google.com/open?id=1yzhHYmvAdjhl3PEK8eWQbdFSeBE7A2sP" TargetMode="External"/><Relationship Id="rId6" Type="http://schemas.openxmlformats.org/officeDocument/2006/relationships/hyperlink" Target="https://drive.google.com/open?id=1nUfjNx_1CY2XM4tTGae6lSN5TclEhIBn" TargetMode="External"/><Relationship Id="rId7" Type="http://schemas.openxmlformats.org/officeDocument/2006/relationships/hyperlink" Target="https://drive.google.com/open?id=1rb7J3M6bx1lOfNBW1Wvnsx9SXDDHReCD" TargetMode="External"/><Relationship Id="rId8" Type="http://schemas.openxmlformats.org/officeDocument/2006/relationships/hyperlink" Target="https://drive.google.com/open?id=1efLCMnwujMT8heDoatI8OkutakS4PaSf" TargetMode="External"/></Relationships>
</file>

<file path=xl/worksheets/_rels/sheet11.xml.rels><?xml version="1.0" encoding="UTF-8" standalone="yes"?><Relationships xmlns="http://schemas.openxmlformats.org/package/2006/relationships"><Relationship Id="rId11" Type="http://schemas.openxmlformats.org/officeDocument/2006/relationships/hyperlink" Target="https://drive.google.com/open?id=1DVn6mAdj2cLN2gQ54dbqiJPLYQfLlPOk" TargetMode="External"/><Relationship Id="rId10" Type="http://schemas.openxmlformats.org/officeDocument/2006/relationships/hyperlink" Target="https://drive.google.com/open?id=18Gtb2Ak6LetQtpZfiJXVioqHZ0Z_QSEE" TargetMode="External"/><Relationship Id="rId13" Type="http://schemas.openxmlformats.org/officeDocument/2006/relationships/hyperlink" Target="https://drive.google.com/open?id=1De0fPzsbVyDJC5h3i6w8GAlec7zMoAgs" TargetMode="External"/><Relationship Id="rId12" Type="http://schemas.openxmlformats.org/officeDocument/2006/relationships/hyperlink" Target="https://drive.google.com/open?id=1cilI93zbffDfyHhHTCtxKnioSmIst-JM" TargetMode="External"/><Relationship Id="rId14" Type="http://schemas.openxmlformats.org/officeDocument/2006/relationships/drawing" Target="../drawings/drawing11.xml"/><Relationship Id="rId1" Type="http://schemas.openxmlformats.org/officeDocument/2006/relationships/hyperlink" Target="https://drive.google.com/open?id=1kiLoUhljL7g55ZZDTYH1ZwXATw5ZZAb6" TargetMode="External"/><Relationship Id="rId2" Type="http://schemas.openxmlformats.org/officeDocument/2006/relationships/hyperlink" Target="https://drive.google.com/open?id=1KLcDWbeT4v8goQTqpwbd_4Ji0zSWQhuU" TargetMode="External"/><Relationship Id="rId3" Type="http://schemas.openxmlformats.org/officeDocument/2006/relationships/hyperlink" Target="https://drive.google.com/open?id=13m4LMknLDrIkz-Psft92ewlI0_okL1UN" TargetMode="External"/><Relationship Id="rId4" Type="http://schemas.openxmlformats.org/officeDocument/2006/relationships/hyperlink" Target="https://drive.google.com/open?id=145r5jwC1A-f-Nbru4oZ4C3V_C94_CWSs" TargetMode="External"/><Relationship Id="rId9" Type="http://schemas.openxmlformats.org/officeDocument/2006/relationships/hyperlink" Target="https://drive.google.com/open?id=1b-RnDa3DKN7SoAYxnKRAcW0ADgd2_AZ0" TargetMode="External"/><Relationship Id="rId5" Type="http://schemas.openxmlformats.org/officeDocument/2006/relationships/hyperlink" Target="https://drive.google.com/open?id=1NEABb1DKjqMFZtjQEwlqRXsDy_lO_eP0" TargetMode="External"/><Relationship Id="rId6" Type="http://schemas.openxmlformats.org/officeDocument/2006/relationships/hyperlink" Target="https://drive.google.com/open?id=1BhHL5YMjib4zroBrTlpmqZqtkwTgy4I_" TargetMode="External"/><Relationship Id="rId7" Type="http://schemas.openxmlformats.org/officeDocument/2006/relationships/hyperlink" Target="https://drive.google.com/open?id=1oGO9RNrFN3YItfsXSaEaY7Ilv8EU_A1X" TargetMode="External"/><Relationship Id="rId8" Type="http://schemas.openxmlformats.org/officeDocument/2006/relationships/hyperlink" Target="https://drive.google.com/open?id=1xsGbYrX11rjFxyDiAfn0kTuU-R2L4YGH"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open?id=1Uz5ygl7IBz9p-i84ISIavOx-nVWEb4nq" TargetMode="External"/><Relationship Id="rId42" Type="http://schemas.openxmlformats.org/officeDocument/2006/relationships/hyperlink" Target="https://drive.google.com/open?id=1yhGfCSdpkPkcPF3bntMbqDHmtokgugFi" TargetMode="External"/><Relationship Id="rId41" Type="http://schemas.openxmlformats.org/officeDocument/2006/relationships/hyperlink" Target="https://drive.google.com/open?id=1nXSZbskfKIgvcgCbNnqhvsnF7zzpOpnV" TargetMode="External"/><Relationship Id="rId44" Type="http://schemas.openxmlformats.org/officeDocument/2006/relationships/hyperlink" Target="https://drive.google.com/open?id=1oGO9RNrFN3YItfsXSaEaY7Ilv8EU_A1X" TargetMode="External"/><Relationship Id="rId43" Type="http://schemas.openxmlformats.org/officeDocument/2006/relationships/hyperlink" Target="https://drive.google.com/open?id=1yzhHYmvAdjhl3PEK8eWQbdFSeBE7A2sP" TargetMode="External"/><Relationship Id="rId46" Type="http://schemas.openxmlformats.org/officeDocument/2006/relationships/hyperlink" Target="https://drive.google.com/open?id=1m1bkcCwex77sTJfqkS264CaHJPikYNSx" TargetMode="External"/><Relationship Id="rId45" Type="http://schemas.openxmlformats.org/officeDocument/2006/relationships/hyperlink" Target="https://drive.google.com/open?id=13LFQgg47KVT2pkWt3eb-8l_L358xM2jS" TargetMode="External"/><Relationship Id="rId48" Type="http://schemas.openxmlformats.org/officeDocument/2006/relationships/hyperlink" Target="https://drive.google.com/open?id=1FMrC_V0HjnR8iN850vElSXT2AMKoT-rn" TargetMode="External"/><Relationship Id="rId47" Type="http://schemas.openxmlformats.org/officeDocument/2006/relationships/hyperlink" Target="https://drive.google.com/open?id=1Rpi5GCR3_4IuF2cGCXBNTciIatw-qjgY" TargetMode="External"/><Relationship Id="rId49" Type="http://schemas.openxmlformats.org/officeDocument/2006/relationships/hyperlink" Target="https://drive.google.com/open?id=1CNkSlcD87gemBBI7x1-PUYcfAA2sQbIT" TargetMode="External"/><Relationship Id="rId31" Type="http://schemas.openxmlformats.org/officeDocument/2006/relationships/hyperlink" Target="https://drive.google.com/open?id=1CGjmYomD5dBf9DfUdRD4EPhJBdVT_9rK" TargetMode="External"/><Relationship Id="rId30" Type="http://schemas.openxmlformats.org/officeDocument/2006/relationships/hyperlink" Target="https://drive.google.com/open?id=1svy2-4M4DwWxUov5U-TBouFrsfz_n74-" TargetMode="External"/><Relationship Id="rId33" Type="http://schemas.openxmlformats.org/officeDocument/2006/relationships/hyperlink" Target="https://drive.google.com/open?id=1W5d5V07POp--_kB4h_3t-Yu-5iLJ9YB6" TargetMode="External"/><Relationship Id="rId32" Type="http://schemas.openxmlformats.org/officeDocument/2006/relationships/hyperlink" Target="https://drive.google.com/open?id=1sznTTlYaDwNhYLPFILPOTFtaMWI8t_fF" TargetMode="External"/><Relationship Id="rId35" Type="http://schemas.openxmlformats.org/officeDocument/2006/relationships/hyperlink" Target="https://drive.google.com/open?id=1GDdkjTaRMDk4Fd_vh8xSfGQjA8KFj7j0" TargetMode="External"/><Relationship Id="rId34" Type="http://schemas.openxmlformats.org/officeDocument/2006/relationships/hyperlink" Target="https://drive.google.com/open?id=1SuUf9cdaU3LbVjb4E8xY24d1xhT6tc0b" TargetMode="External"/><Relationship Id="rId37" Type="http://schemas.openxmlformats.org/officeDocument/2006/relationships/hyperlink" Target="https://drive.google.com/open?id=1_XiqsrXAm1Pt4cZ5LC7n95mMGeHGeUSr" TargetMode="External"/><Relationship Id="rId36" Type="http://schemas.openxmlformats.org/officeDocument/2006/relationships/hyperlink" Target="https://drive.google.com/open?id=1jnx0QZRCwYYoHo4C4UnxZKEdLXeSJJPF" TargetMode="External"/><Relationship Id="rId39" Type="http://schemas.openxmlformats.org/officeDocument/2006/relationships/hyperlink" Target="https://drive.google.com/open?id=1tHU1TJzAqMEoiPuiaCAljtqHLo5P-G1N" TargetMode="External"/><Relationship Id="rId38" Type="http://schemas.openxmlformats.org/officeDocument/2006/relationships/hyperlink" Target="https://drive.google.com/open?id=1efLCMnwujMT8heDoatI8OkutakS4PaSf" TargetMode="External"/><Relationship Id="rId20" Type="http://schemas.openxmlformats.org/officeDocument/2006/relationships/hyperlink" Target="https://drive.google.com/open?id=1DVn6mAdj2cLN2gQ54dbqiJPLYQfLlPOk" TargetMode="External"/><Relationship Id="rId22" Type="http://schemas.openxmlformats.org/officeDocument/2006/relationships/hyperlink" Target="https://drive.google.com/open?id=1De0fPzsbVyDJC5h3i6w8GAlec7zMoAgs" TargetMode="External"/><Relationship Id="rId21" Type="http://schemas.openxmlformats.org/officeDocument/2006/relationships/hyperlink" Target="https://drive.google.com/open?id=1cilI93zbffDfyHhHTCtxKnioSmIst-JM" TargetMode="External"/><Relationship Id="rId24" Type="http://schemas.openxmlformats.org/officeDocument/2006/relationships/hyperlink" Target="https://drive.google.com/open?id=13m4LMknLDrIkz-Psft92ewlI0_okL1UN" TargetMode="External"/><Relationship Id="rId23" Type="http://schemas.openxmlformats.org/officeDocument/2006/relationships/hyperlink" Target="https://drive.google.com/open?id=1KLcDWbeT4v8goQTqpwbd_4Ji0zSWQhuU" TargetMode="External"/><Relationship Id="rId26" Type="http://schemas.openxmlformats.org/officeDocument/2006/relationships/hyperlink" Target="https://drive.google.com/open?id=1vwfFNzJEgF63u_3uGUpdnCD3SvnZ9TG6" TargetMode="External"/><Relationship Id="rId25" Type="http://schemas.openxmlformats.org/officeDocument/2006/relationships/hyperlink" Target="https://drive.google.com/open?id=1y363lKD5p25fvcBxoKDcxPAtwnTv8JYE" TargetMode="External"/><Relationship Id="rId28" Type="http://schemas.openxmlformats.org/officeDocument/2006/relationships/hyperlink" Target="https://drive.google.com/open?id=1lsRI-VsV4ia6Znpx9gd6DjWVjY90MPfQ" TargetMode="External"/><Relationship Id="rId27" Type="http://schemas.openxmlformats.org/officeDocument/2006/relationships/hyperlink" Target="https://drive.google.com/open?id=1JNgnX1KCw5SfJv9mzo7RYkZy0-UDfplv" TargetMode="External"/><Relationship Id="rId29" Type="http://schemas.openxmlformats.org/officeDocument/2006/relationships/hyperlink" Target="https://drive.google.com/open?id=165fWzTgWt_0p3VHrns3YQb9itQrkbhhd" TargetMode="External"/><Relationship Id="rId11" Type="http://schemas.openxmlformats.org/officeDocument/2006/relationships/hyperlink" Target="https://drive.google.com/open?id=1vsu1QJc33cNFFIfoaA3fBJ2kl9cm91c7" TargetMode="External"/><Relationship Id="rId10" Type="http://schemas.openxmlformats.org/officeDocument/2006/relationships/hyperlink" Target="https://drive.google.com/open?id=1rb7J3M6bx1lOfNBW1Wvnsx9SXDDHReCD" TargetMode="External"/><Relationship Id="rId13" Type="http://schemas.openxmlformats.org/officeDocument/2006/relationships/hyperlink" Target="https://drive.google.com/open?id=1hjGVKjnIAgcuGMLnq1Yw3TwNNAGqKXIl" TargetMode="External"/><Relationship Id="rId12" Type="http://schemas.openxmlformats.org/officeDocument/2006/relationships/hyperlink" Target="https://drive.google.com/open?id=1ncyiHFNw-XQRVuV44VWeDW98I-_Hex3Z" TargetMode="External"/><Relationship Id="rId15" Type="http://schemas.openxmlformats.org/officeDocument/2006/relationships/hyperlink" Target="https://drive.google.com/open?id=1bWZnPn9EgUgD8PhFK8zWBLuN6dpVwISI" TargetMode="External"/><Relationship Id="rId14" Type="http://schemas.openxmlformats.org/officeDocument/2006/relationships/hyperlink" Target="https://drive.google.com/open?id=1QMzKOMerUCQy5zfyOFjN0tgsfeRswtgw" TargetMode="External"/><Relationship Id="rId17" Type="http://schemas.openxmlformats.org/officeDocument/2006/relationships/hyperlink" Target="https://drive.google.com/open?id=1kiLoUhljL7g55ZZDTYH1ZwXATw5ZZAb6" TargetMode="External"/><Relationship Id="rId16" Type="http://schemas.openxmlformats.org/officeDocument/2006/relationships/hyperlink" Target="https://drive.google.com/open?id=1jpGJpbAvcu0CESVSd8zdMkle88VE82yb" TargetMode="External"/><Relationship Id="rId19" Type="http://schemas.openxmlformats.org/officeDocument/2006/relationships/hyperlink" Target="https://drive.google.com/open?id=18Gtb2Ak6LetQtpZfiJXVioqHZ0Z_QSEE" TargetMode="External"/><Relationship Id="rId18" Type="http://schemas.openxmlformats.org/officeDocument/2006/relationships/hyperlink" Target="https://drive.google.com/open?id=1BhHL5YMjib4zroBrTlpmqZqtkwTgy4I_" TargetMode="External"/><Relationship Id="rId84" Type="http://schemas.openxmlformats.org/officeDocument/2006/relationships/hyperlink" Target="https://drive.google.com/open?id=1NEABb1DKjqMFZtjQEwlqRXsDy_lO_eP0" TargetMode="External"/><Relationship Id="rId83" Type="http://schemas.openxmlformats.org/officeDocument/2006/relationships/hyperlink" Target="https://drive.google.com/open?id=145r5jwC1A-f-Nbru4oZ4C3V_C94_CWSs" TargetMode="External"/><Relationship Id="rId86" Type="http://schemas.openxmlformats.org/officeDocument/2006/relationships/hyperlink" Target="https://drive.google.com/open?id=1vVbbezW0fDR-TFA1oH9Ux6AzEqPuT-vg" TargetMode="External"/><Relationship Id="rId85" Type="http://schemas.openxmlformats.org/officeDocument/2006/relationships/hyperlink" Target="https://drive.google.com/open?id=1viomBrzK8Kp8NQ0Z8P1asuLr4DVCUImc" TargetMode="External"/><Relationship Id="rId88" Type="http://schemas.openxmlformats.org/officeDocument/2006/relationships/hyperlink" Target="https://drive.google.com/open?id=1b-RnDa3DKN7SoAYxnKRAcW0ADgd2_AZ0" TargetMode="External"/><Relationship Id="rId87" Type="http://schemas.openxmlformats.org/officeDocument/2006/relationships/hyperlink" Target="https://drive.google.com/open?id=1xsGbYrX11rjFxyDiAfn0kTuU-R2L4YGH" TargetMode="External"/><Relationship Id="rId89" Type="http://schemas.openxmlformats.org/officeDocument/2006/relationships/hyperlink" Target="https://drive.google.com/open?id=1MftpWFJOpL2kDzHP3Kw3YDAfahiZBg97" TargetMode="External"/><Relationship Id="rId80" Type="http://schemas.openxmlformats.org/officeDocument/2006/relationships/hyperlink" Target="https://drive.google.com/open?id=14_2DWS0Hr8bmoZm-1V3JRIuJTOtifWoJ" TargetMode="External"/><Relationship Id="rId82" Type="http://schemas.openxmlformats.org/officeDocument/2006/relationships/hyperlink" Target="https://drive.google.com/open?id=1EzqqZXLijbLjtmS_O9hb3qYQhh9ugFtB" TargetMode="External"/><Relationship Id="rId81" Type="http://schemas.openxmlformats.org/officeDocument/2006/relationships/hyperlink" Target="https://drive.google.com/open?id=1h5j6SDlXvDPw0OcGyGXlo29tYglr5smD" TargetMode="External"/><Relationship Id="rId1" Type="http://schemas.openxmlformats.org/officeDocument/2006/relationships/hyperlink" Target="https://drive.google.com/open?id=1f-OYoCvfKVboTgbyfV9-T__P9DVA6Bag" TargetMode="External"/><Relationship Id="rId2" Type="http://schemas.openxmlformats.org/officeDocument/2006/relationships/hyperlink" Target="https://drive.google.com/open?id=1A_rY5yzJBVJmR94FX1yg5_t5gVB_DXSb" TargetMode="External"/><Relationship Id="rId3" Type="http://schemas.openxmlformats.org/officeDocument/2006/relationships/hyperlink" Target="https://drive.google.com/open?id=1te4UZ77P0ET3zQMWcK4_mgXtL4Wtg6c1" TargetMode="External"/><Relationship Id="rId4" Type="http://schemas.openxmlformats.org/officeDocument/2006/relationships/hyperlink" Target="https://drive.google.com/open?id=1gy0FQPeabBq-ml5PQ65lr2HoTYd8VEsm" TargetMode="External"/><Relationship Id="rId9" Type="http://schemas.openxmlformats.org/officeDocument/2006/relationships/hyperlink" Target="https://drive.google.com/open?id=1nUfjNx_1CY2XM4tTGae6lSN5TclEhIBn" TargetMode="External"/><Relationship Id="rId5" Type="http://schemas.openxmlformats.org/officeDocument/2006/relationships/hyperlink" Target="https://drive.google.com/open?id=1LtVb5StQBOZSj6eTAHvauqsoRLqbTSML" TargetMode="External"/><Relationship Id="rId6" Type="http://schemas.openxmlformats.org/officeDocument/2006/relationships/hyperlink" Target="https://drive.google.com/open?id=1kKQvejM0dobUL4RUTyUdA_kRa6XR3dsk" TargetMode="External"/><Relationship Id="rId7" Type="http://schemas.openxmlformats.org/officeDocument/2006/relationships/hyperlink" Target="https://drive.google.com/open?id=1JuTMHwM4c1KBDKEIoo3iChroTHRy-P3a" TargetMode="External"/><Relationship Id="rId8" Type="http://schemas.openxmlformats.org/officeDocument/2006/relationships/hyperlink" Target="https://drive.google.com/open?id=1PASnQjZgnCxCms9D3JeztyUc3qMEsSP1" TargetMode="External"/><Relationship Id="rId73" Type="http://schemas.openxmlformats.org/officeDocument/2006/relationships/hyperlink" Target="https://drive.google.com/open?id=1sdF35CcQEeccDFBhHw5sLlItt49bquSR" TargetMode="External"/><Relationship Id="rId72" Type="http://schemas.openxmlformats.org/officeDocument/2006/relationships/hyperlink" Target="https://drive.google.com/open?id=1pDq6086vc-tHEJWFAJGrFeKf36t7oz_a" TargetMode="External"/><Relationship Id="rId75" Type="http://schemas.openxmlformats.org/officeDocument/2006/relationships/hyperlink" Target="https://drive.google.com/open?id=1SwP8MreBIurJzXhRTl4mkg5cA6XcAtuX" TargetMode="External"/><Relationship Id="rId74" Type="http://schemas.openxmlformats.org/officeDocument/2006/relationships/hyperlink" Target="https://drive.google.com/open?id=15V3mma2qRWzwLrra8p7hqOewmpN4h9sf" TargetMode="External"/><Relationship Id="rId77" Type="http://schemas.openxmlformats.org/officeDocument/2006/relationships/hyperlink" Target="https://drive.google.com/open?id=1-zJuwqyRP6su0_Mvpnp7i4k_uJkfMb4N" TargetMode="External"/><Relationship Id="rId76" Type="http://schemas.openxmlformats.org/officeDocument/2006/relationships/hyperlink" Target="https://drive.google.com/open?id=1KpFJn6VMPLWj51nQdnAXmx4xl6yiiEOf" TargetMode="External"/><Relationship Id="rId79" Type="http://schemas.openxmlformats.org/officeDocument/2006/relationships/hyperlink" Target="https://drive.google.com/open?id=1OHYtkjhPkow7ia9SK03XUI0v5Z1wVk2L" TargetMode="External"/><Relationship Id="rId78" Type="http://schemas.openxmlformats.org/officeDocument/2006/relationships/hyperlink" Target="https://drive.google.com/open?id=1KxFQp1D9N5_kRJdL6S43KmIwkmjm_Fui" TargetMode="External"/><Relationship Id="rId71" Type="http://schemas.openxmlformats.org/officeDocument/2006/relationships/hyperlink" Target="https://drive.google.com/open?id=1Q_60OaCRNIshmx_rkgKHPKIXO_4cWOjO" TargetMode="External"/><Relationship Id="rId70" Type="http://schemas.openxmlformats.org/officeDocument/2006/relationships/hyperlink" Target="https://drive.google.com/open?id=1kB1xwI1YFg3KxU_VrJT8CZksIy5yTC7e" TargetMode="External"/><Relationship Id="rId62" Type="http://schemas.openxmlformats.org/officeDocument/2006/relationships/hyperlink" Target="https://drive.google.com/open?id=1abeX2L4AVqo3963YQ77xnOafxuaGzP4N" TargetMode="External"/><Relationship Id="rId61" Type="http://schemas.openxmlformats.org/officeDocument/2006/relationships/hyperlink" Target="https://drive.google.com/open?id=1JJujNQN4W1mwdUUDB1j7Hye5pLjmUqOx" TargetMode="External"/><Relationship Id="rId64" Type="http://schemas.openxmlformats.org/officeDocument/2006/relationships/hyperlink" Target="https://drive.google.com/open?id=1vBh_4_MbeBECukbo_AoMij-zYss8x8zk" TargetMode="External"/><Relationship Id="rId63" Type="http://schemas.openxmlformats.org/officeDocument/2006/relationships/hyperlink" Target="https://drive.google.com/open?id=1QQdG5loTr9Rzjah__PpUd29Kfr61VrEH" TargetMode="External"/><Relationship Id="rId66" Type="http://schemas.openxmlformats.org/officeDocument/2006/relationships/hyperlink" Target="https://drive.google.com/open?id=1SOj-jJOEaCk4T3U1hMzykaldVn_jlcU4" TargetMode="External"/><Relationship Id="rId65" Type="http://schemas.openxmlformats.org/officeDocument/2006/relationships/hyperlink" Target="https://drive.google.com/open?id=1a0UFtMh_xF7JWA4VerSHquxGDfAdCa48" TargetMode="External"/><Relationship Id="rId68" Type="http://schemas.openxmlformats.org/officeDocument/2006/relationships/hyperlink" Target="https://drive.google.com/open?id=1cZXt1cWkk8o1iQPu8b2qZtNnxDZBk4s4" TargetMode="External"/><Relationship Id="rId67" Type="http://schemas.openxmlformats.org/officeDocument/2006/relationships/hyperlink" Target="https://drive.google.com/open?id=1LXt_nunC5PJtZ7dXMeQ3XaUy4dyYS5XI" TargetMode="External"/><Relationship Id="rId60" Type="http://schemas.openxmlformats.org/officeDocument/2006/relationships/hyperlink" Target="https://drive.google.com/open?id=12klb4_xE_kcEyrt_ay2wgAtHST_uDvtb" TargetMode="External"/><Relationship Id="rId69" Type="http://schemas.openxmlformats.org/officeDocument/2006/relationships/hyperlink" Target="https://drive.google.com/open?id=1-itfCbE0Gdc4CrOioZjpZxP_uABaRdZC" TargetMode="External"/><Relationship Id="rId51" Type="http://schemas.openxmlformats.org/officeDocument/2006/relationships/hyperlink" Target="https://drive.google.com/open?id=1yKJjqYXEIwH89MZbA0T_CfBVJ1y8AjIz" TargetMode="External"/><Relationship Id="rId50" Type="http://schemas.openxmlformats.org/officeDocument/2006/relationships/hyperlink" Target="https://drive.google.com/open?id=1AqAAtm-sbabrjPQbuGyTcqCfJS6YdOXk" TargetMode="External"/><Relationship Id="rId53" Type="http://schemas.openxmlformats.org/officeDocument/2006/relationships/hyperlink" Target="https://drive.google.com/open?id=1DHhsfMIueqHMMedxtLOFTRuBNE56A2rD" TargetMode="External"/><Relationship Id="rId52" Type="http://schemas.openxmlformats.org/officeDocument/2006/relationships/hyperlink" Target="https://drive.google.com/open?id=1h-gdW4z8B2Ae41RBKi6SXJwJK8nYpARF" TargetMode="External"/><Relationship Id="rId55" Type="http://schemas.openxmlformats.org/officeDocument/2006/relationships/hyperlink" Target="https://drive.google.com/open?id=1XM2lvDCyhE42o5o5m8WGMDnioMjh_iFH" TargetMode="External"/><Relationship Id="rId54" Type="http://schemas.openxmlformats.org/officeDocument/2006/relationships/hyperlink" Target="https://drive.google.com/open?id=1ZSIGTTtzb67cWaIc5_ekIf-7v_3uRBj3" TargetMode="External"/><Relationship Id="rId57" Type="http://schemas.openxmlformats.org/officeDocument/2006/relationships/hyperlink" Target="https://drive.google.com/open?id=1At1Hb4rNGdvJ6rS_HEVvJhY01yWykmwF" TargetMode="External"/><Relationship Id="rId56" Type="http://schemas.openxmlformats.org/officeDocument/2006/relationships/hyperlink" Target="https://drive.google.com/open?id=14U0PkiLCA6c736YwznNxEYmKTPcy-YDs" TargetMode="External"/><Relationship Id="rId59" Type="http://schemas.openxmlformats.org/officeDocument/2006/relationships/hyperlink" Target="https://drive.google.com/open?id=1q_b7hkTagiWUuGwWbXKARPhAvlpxp83e" TargetMode="External"/><Relationship Id="rId58" Type="http://schemas.openxmlformats.org/officeDocument/2006/relationships/hyperlink" Target="https://drive.google.com/open?id=1FpDQYIXc2EV_YURui96QM7NL3nFpCyL3" TargetMode="External"/><Relationship Id="rId91" Type="http://schemas.openxmlformats.org/officeDocument/2006/relationships/drawing" Target="../drawings/drawing2.xml"/><Relationship Id="rId90" Type="http://schemas.openxmlformats.org/officeDocument/2006/relationships/hyperlink" Target="https://drive.google.com/open?id=15KrKDYrRGwwFYcCFIYwPR5A-0AG1lE88" TargetMode="External"/></Relationships>
</file>

<file path=xl/worksheets/_rels/sheet3.xml.rels><?xml version="1.0" encoding="UTF-8" standalone="yes"?><Relationships xmlns="http://schemas.openxmlformats.org/package/2006/relationships"><Relationship Id="rId11" Type="http://schemas.openxmlformats.org/officeDocument/2006/relationships/hyperlink" Target="https://drive.google.com/open?id=1kB1xwI1YFg3KxU_VrJT8CZksIy5yTC7e" TargetMode="External"/><Relationship Id="rId10" Type="http://schemas.openxmlformats.org/officeDocument/2006/relationships/hyperlink" Target="https://drive.google.com/open?id=1SuUf9cdaU3LbVjb4E8xY24d1xhT6tc0b" TargetMode="External"/><Relationship Id="rId13" Type="http://schemas.openxmlformats.org/officeDocument/2006/relationships/hyperlink" Target="https://drive.google.com/open?id=1h5j6SDlXvDPw0OcGyGXlo29tYglr5smD" TargetMode="External"/><Relationship Id="rId12" Type="http://schemas.openxmlformats.org/officeDocument/2006/relationships/hyperlink" Target="https://drive.google.com/open?id=1OHYtkjhPkow7ia9SK03XUI0v5Z1wVk2L" TargetMode="External"/><Relationship Id="rId15" Type="http://schemas.openxmlformats.org/officeDocument/2006/relationships/drawing" Target="../drawings/drawing3.xml"/><Relationship Id="rId14" Type="http://schemas.openxmlformats.org/officeDocument/2006/relationships/hyperlink" Target="https://drive.google.com/open?id=1vVbbezW0fDR-TFA1oH9Ux6AzEqPuT-vg" TargetMode="External"/><Relationship Id="rId1" Type="http://schemas.openxmlformats.org/officeDocument/2006/relationships/hyperlink" Target="https://drive.google.com/open?id=1W5d5V07POp--_kB4h_3t-Yu-5iLJ9YB6" TargetMode="External"/><Relationship Id="rId2" Type="http://schemas.openxmlformats.org/officeDocument/2006/relationships/hyperlink" Target="https://drive.google.com/open?id=1jnx0QZRCwYYoHo4C4UnxZKEdLXeSJJPF" TargetMode="External"/><Relationship Id="rId3" Type="http://schemas.openxmlformats.org/officeDocument/2006/relationships/hyperlink" Target="https://drive.google.com/open?id=1_XiqsrXAm1Pt4cZ5LC7n95mMGeHGeUSr" TargetMode="External"/><Relationship Id="rId4" Type="http://schemas.openxmlformats.org/officeDocument/2006/relationships/hyperlink" Target="https://drive.google.com/open?id=1PASnQjZgnCxCms9D3JeztyUc3qMEsSP1" TargetMode="External"/><Relationship Id="rId9" Type="http://schemas.openxmlformats.org/officeDocument/2006/relationships/hyperlink" Target="https://drive.google.com/open?id=1a0UFtMh_xF7JWA4VerSHquxGDfAdCa48" TargetMode="External"/><Relationship Id="rId5" Type="http://schemas.openxmlformats.org/officeDocument/2006/relationships/hyperlink" Target="https://drive.google.com/open?id=1viomBrzK8Kp8NQ0Z8P1asuLr4DVCUImc" TargetMode="External"/><Relationship Id="rId6" Type="http://schemas.openxmlformats.org/officeDocument/2006/relationships/hyperlink" Target="https://drive.google.com/open?id=1MftpWFJOpL2kDzHP3Kw3YDAfahiZBg97" TargetMode="External"/><Relationship Id="rId7" Type="http://schemas.openxmlformats.org/officeDocument/2006/relationships/hyperlink" Target="https://drive.google.com/open?id=1DHhsfMIueqHMMedxtLOFTRuBNE56A2rD" TargetMode="External"/><Relationship Id="rId8" Type="http://schemas.openxmlformats.org/officeDocument/2006/relationships/hyperlink" Target="https://drive.google.com/open?id=1JJujNQN4W1mwdUUDB1j7Hye5pLjmUqOx" TargetMode="External"/></Relationships>
</file>

<file path=xl/worksheets/_rels/sheet4.xml.rels><?xml version="1.0" encoding="UTF-8" standalone="yes"?><Relationships xmlns="http://schemas.openxmlformats.org/package/2006/relationships"><Relationship Id="rId11" Type="http://schemas.openxmlformats.org/officeDocument/2006/relationships/hyperlink" Target="https://drive.google.com/open?id=1pDq6086vc-tHEJWFAJGrFeKf36t7oz_a" TargetMode="External"/><Relationship Id="rId10" Type="http://schemas.openxmlformats.org/officeDocument/2006/relationships/hyperlink" Target="https://drive.google.com/open?id=1bWZnPn9EgUgD8PhFK8zWBLuN6dpVwISI" TargetMode="External"/><Relationship Id="rId13" Type="http://schemas.openxmlformats.org/officeDocument/2006/relationships/hyperlink" Target="https://drive.google.com/open?id=1OHYtkjhPkow7ia9SK03XUI0v5Z1wVk2L" TargetMode="External"/><Relationship Id="rId12" Type="http://schemas.openxmlformats.org/officeDocument/2006/relationships/hyperlink" Target="https://drive.google.com/open?id=1kB1xwI1YFg3KxU_VrJT8CZksIy5yTC7e" TargetMode="External"/><Relationship Id="rId14" Type="http://schemas.openxmlformats.org/officeDocument/2006/relationships/drawing" Target="../drawings/drawing4.xml"/><Relationship Id="rId1" Type="http://schemas.openxmlformats.org/officeDocument/2006/relationships/hyperlink" Target="https://www.canr.msu.edu/fccp/Uploads/Files/2b.%20Cap%20and%20Trade_FINAL_v2.pdf" TargetMode="External"/><Relationship Id="rId2" Type="http://schemas.openxmlformats.org/officeDocument/2006/relationships/hyperlink" Target="https://drive.google.com/open?id=1vsu1QJc33cNFFIfoaA3fBJ2kl9cm91c7" TargetMode="External"/><Relationship Id="rId3" Type="http://schemas.openxmlformats.org/officeDocument/2006/relationships/hyperlink" Target="https://www.bbc.com/news/science-environment-45084144" TargetMode="External"/><Relationship Id="rId4" Type="http://schemas.openxmlformats.org/officeDocument/2006/relationships/hyperlink" Target="https://drive.google.com/open?id=1ncyiHFNw-XQRVuV44VWeDW98I-_Hex3Z" TargetMode="External"/><Relationship Id="rId9" Type="http://schemas.openxmlformats.org/officeDocument/2006/relationships/hyperlink" Target="https://drive.google.com/open?id=1jpGJpbAvcu0CESVSd8zdMkle88VE82yb" TargetMode="External"/><Relationship Id="rId5" Type="http://schemas.openxmlformats.org/officeDocument/2006/relationships/hyperlink" Target="https://www.investcorp.com/wp-content/uploads/2024/04/The-Global-Carbon-Markets-April-2024-vF.pdf" TargetMode="External"/><Relationship Id="rId6" Type="http://schemas.openxmlformats.org/officeDocument/2006/relationships/hyperlink" Target="https://drive.google.com/open?id=1jpGJpbAvcu0CESVSd8zdMkle88VE82yb" TargetMode="External"/><Relationship Id="rId7" Type="http://schemas.openxmlformats.org/officeDocument/2006/relationships/hyperlink" Target="https://drive.google.com/open?id=1hjGVKjnIAgcuGMLnq1Yw3TwNNAGqKXIl" TargetMode="External"/><Relationship Id="rId8" Type="http://schemas.openxmlformats.org/officeDocument/2006/relationships/hyperlink" Target="https://drive.google.com/open?id=1QMzKOMerUCQy5zfyOFjN0tgsfeRswtgw" TargetMode="External"/></Relationships>
</file>

<file path=xl/worksheets/_rels/sheet5.xml.rels><?xml version="1.0" encoding="UTF-8" standalone="yes"?><Relationships xmlns="http://schemas.openxmlformats.org/package/2006/relationships"><Relationship Id="rId11" Type="http://schemas.openxmlformats.org/officeDocument/2006/relationships/hyperlink" Target="https://www.tandfonline.com/doi/full/10.1080/14693062.2016.1169393" TargetMode="External"/><Relationship Id="rId10" Type="http://schemas.openxmlformats.org/officeDocument/2006/relationships/hyperlink" Target="https://drive.google.com/open?id=165fWzTgWt_0p3VHrns3YQb9itQrkbhhd" TargetMode="External"/><Relationship Id="rId13" Type="http://schemas.openxmlformats.org/officeDocument/2006/relationships/hyperlink" Target="https://drive.google.com/open?id=1At1Hb4rNGdvJ6rS_HEVvJhY01yWykmwF" TargetMode="External"/><Relationship Id="rId12" Type="http://schemas.openxmlformats.org/officeDocument/2006/relationships/hyperlink" Target="https://drive.google.com/open?id=1svy2-4M4DwWxUov5U-TBouFrsfz_n74-" TargetMode="External"/><Relationship Id="rId15" Type="http://schemas.openxmlformats.org/officeDocument/2006/relationships/hyperlink" Target="https://drive.google.com/open?id=1OHYtkjhPkow7ia9SK03XUI0v5Z1wVk2L" TargetMode="External"/><Relationship Id="rId14" Type="http://schemas.openxmlformats.org/officeDocument/2006/relationships/hyperlink" Target="https://drive.google.com/open?id=1Q_60OaCRNIshmx_rkgKHPKIXO_4cWOjO" TargetMode="External"/><Relationship Id="rId16" Type="http://schemas.openxmlformats.org/officeDocument/2006/relationships/drawing" Target="../drawings/drawing5.xml"/><Relationship Id="rId1" Type="http://schemas.openxmlformats.org/officeDocument/2006/relationships/hyperlink" Target="https://www.npr.org/2022/02/28/1082564304/billions-of-people-are-in-danger-from-climate-change-u-n-report-warns" TargetMode="External"/><Relationship Id="rId2" Type="http://schemas.openxmlformats.org/officeDocument/2006/relationships/hyperlink" Target="https://drive.google.com/open?id=1y363lKD5p25fvcBxoKDcxPAtwnTv8JYE" TargetMode="External"/><Relationship Id="rId3" Type="http://schemas.openxmlformats.org/officeDocument/2006/relationships/hyperlink" Target="https://www.theasset.com/article-esg/51033/fossil-fuel-subsidies-harm-planet-the-poor" TargetMode="External"/><Relationship Id="rId4" Type="http://schemas.openxmlformats.org/officeDocument/2006/relationships/hyperlink" Target="https://drive.google.com/open?id=1vwfFNzJEgF63u_3uGUpdnCD3SvnZ9TG6" TargetMode="External"/><Relationship Id="rId9" Type="http://schemas.openxmlformats.org/officeDocument/2006/relationships/hyperlink" Target="https://drive.google.com/open?id=1lsRI-VsV4ia6Znpx9gd6DjWVjY90MPfQ" TargetMode="External"/><Relationship Id="rId5" Type="http://schemas.openxmlformats.org/officeDocument/2006/relationships/hyperlink" Target="https://drive.google.com/open?id=1JNgnX1KCw5SfJv9mzo7RYkZy0-UDfplv" TargetMode="External"/><Relationship Id="rId6" Type="http://schemas.openxmlformats.org/officeDocument/2006/relationships/hyperlink" Target="https://drive.google.com/open?id=1CGjmYomD5dBf9DfUdRD4EPhJBdVT_9rK" TargetMode="External"/><Relationship Id="rId7" Type="http://schemas.openxmlformats.org/officeDocument/2006/relationships/hyperlink" Target="https://drive.google.com/open?id=1sznTTlYaDwNhYLPFILPOTFtaMWI8t_fF" TargetMode="External"/><Relationship Id="rId8" Type="http://schemas.openxmlformats.org/officeDocument/2006/relationships/hyperlink" Target="https://drive.google.com/open?id=1sdF35CcQEeccDFBhHw5sLlItt49bquSR" TargetMode="External"/></Relationships>
</file>

<file path=xl/worksheets/_rels/sheet6.xml.rels><?xml version="1.0" encoding="UTF-8" standalone="yes"?><Relationships xmlns="http://schemas.openxmlformats.org/package/2006/relationships"><Relationship Id="rId11" Type="http://schemas.openxmlformats.org/officeDocument/2006/relationships/drawing" Target="../drawings/drawing6.xml"/><Relationship Id="rId10" Type="http://schemas.openxmlformats.org/officeDocument/2006/relationships/hyperlink" Target="https://drive.google.com/open?id=1KpFJn6VMPLWj51nQdnAXmx4xl6yiiEOf" TargetMode="External"/><Relationship Id="rId1" Type="http://schemas.openxmlformats.org/officeDocument/2006/relationships/hyperlink" Target="https://drive.google.com/open?id=1FpDQYIXc2EV_YURui96QM7NL3nFpCyL3" TargetMode="External"/><Relationship Id="rId2" Type="http://schemas.openxmlformats.org/officeDocument/2006/relationships/hyperlink" Target="https://drive.google.com/open?id=15V3mma2qRWzwLrra8p7hqOewmpN4h9sf" TargetMode="External"/><Relationship Id="rId3" Type="http://schemas.openxmlformats.org/officeDocument/2006/relationships/hyperlink" Target="https://drive.google.com/open?id=1yKJjqYXEIwH89MZbA0T_CfBVJ1y8AjIz" TargetMode="External"/><Relationship Id="rId4" Type="http://schemas.openxmlformats.org/officeDocument/2006/relationships/hyperlink" Target="https://drive.google.com/open?id=12klb4_xE_kcEyrt_ay2wgAtHST_uDvtb" TargetMode="External"/><Relationship Id="rId9" Type="http://schemas.openxmlformats.org/officeDocument/2006/relationships/hyperlink" Target="https://drive.google.com/open?id=1SwP8MreBIurJzXhRTl4mkg5cA6XcAtuX" TargetMode="External"/><Relationship Id="rId5" Type="http://schemas.openxmlformats.org/officeDocument/2006/relationships/hyperlink" Target="https://drive.google.com/open?id=1-zJuwqyRP6su0_Mvpnp7i4k_uJkfMb4N" TargetMode="External"/><Relationship Id="rId6" Type="http://schemas.openxmlformats.org/officeDocument/2006/relationships/hyperlink" Target="https://drive.google.com/open?id=15KrKDYrRGwwFYcCFIYwPR5A-0AG1lE88" TargetMode="External"/><Relationship Id="rId7" Type="http://schemas.openxmlformats.org/officeDocument/2006/relationships/hyperlink" Target="https://drive.google.com/open?id=1h-gdW4z8B2Ae41RBKi6SXJwJK8nYpARF" TargetMode="External"/><Relationship Id="rId8" Type="http://schemas.openxmlformats.org/officeDocument/2006/relationships/hyperlink" Target="https://drive.google.com/open?id=1q_b7hkTagiWUuGwWbXKARPhAvlpxp83e" TargetMode="External"/></Relationships>
</file>

<file path=xl/worksheets/_rels/sheet7.xml.rels><?xml version="1.0" encoding="UTF-8" standalone="yes"?><Relationships xmlns="http://schemas.openxmlformats.org/package/2006/relationships"><Relationship Id="rId20" Type="http://schemas.openxmlformats.org/officeDocument/2006/relationships/hyperlink" Target="https://drive.google.com/open?id=1ZSIGTTtzb67cWaIc5_ekIf-7v_3uRBj3" TargetMode="External"/><Relationship Id="rId22" Type="http://schemas.openxmlformats.org/officeDocument/2006/relationships/hyperlink" Target="https://drive.google.com/open?id=1LXt_nunC5PJtZ7dXMeQ3XaUy4dyYS5XI" TargetMode="External"/><Relationship Id="rId21" Type="http://schemas.openxmlformats.org/officeDocument/2006/relationships/hyperlink" Target="https://drive.google.com/open?id=1cZXt1cWkk8o1iQPu8b2qZtNnxDZBk4s4" TargetMode="External"/><Relationship Id="rId23" Type="http://schemas.openxmlformats.org/officeDocument/2006/relationships/drawing" Target="../drawings/drawing7.xml"/><Relationship Id="rId11" Type="http://schemas.openxmlformats.org/officeDocument/2006/relationships/hyperlink" Target="https://drive.google.com/open?id=1-itfCbE0Gdc4CrOioZjpZxP_uABaRdZC" TargetMode="External"/><Relationship Id="rId10" Type="http://schemas.openxmlformats.org/officeDocument/2006/relationships/hyperlink" Target="https://drive.google.com/open?id=1JuTMHwM4c1KBDKEIoo3iChroTHRy-P3a" TargetMode="External"/><Relationship Id="rId13" Type="http://schemas.openxmlformats.org/officeDocument/2006/relationships/hyperlink" Target="https://drive.google.com/open?id=14_2DWS0Hr8bmoZm-1V3JRIuJTOtifWoJ" TargetMode="External"/><Relationship Id="rId12" Type="http://schemas.openxmlformats.org/officeDocument/2006/relationships/hyperlink" Target="https://drive.google.com/open?id=1SOj-jJOEaCk4T3U1hMzykaldVn_jlcU4" TargetMode="External"/><Relationship Id="rId15" Type="http://schemas.openxmlformats.org/officeDocument/2006/relationships/hyperlink" Target="https://drive.google.com/open?id=1KxFQp1D9N5_kRJdL6S43KmIwkmjm_Fui" TargetMode="External"/><Relationship Id="rId14" Type="http://schemas.openxmlformats.org/officeDocument/2006/relationships/hyperlink" Target="https://drive.google.com/open?id=1EzqqZXLijbLjtmS_O9hb3qYQhh9ugFtB" TargetMode="External"/><Relationship Id="rId17" Type="http://schemas.openxmlformats.org/officeDocument/2006/relationships/hyperlink" Target="https://drive.google.com/open?id=1te4UZ77P0ET3zQMWcK4_mgXtL4Wtg6c1" TargetMode="External"/><Relationship Id="rId16" Type="http://schemas.openxmlformats.org/officeDocument/2006/relationships/hyperlink" Target="https://drive.google.com/open?id=1f-OYoCvfKVboTgbyfV9-T__P9DVA6Bag" TargetMode="External"/><Relationship Id="rId19" Type="http://schemas.openxmlformats.org/officeDocument/2006/relationships/hyperlink" Target="https://drive.google.com/open?id=1A_rY5yzJBVJmR94FX1yg5_t5gVB_DXSb" TargetMode="External"/><Relationship Id="rId18" Type="http://schemas.openxmlformats.org/officeDocument/2006/relationships/hyperlink" Target="https://drive.google.com/open?id=1gy0FQPeabBq-ml5PQ65lr2HoTYd8VEsm" TargetMode="External"/><Relationship Id="rId1" Type="http://schemas.openxmlformats.org/officeDocument/2006/relationships/hyperlink" Target="https://eea.epri.com/pdf/Back-Pocket-Insights/P201_Back_Pocket_Insights_Electricity_Carbon_Prices_Final.pdf" TargetMode="External"/><Relationship Id="rId2" Type="http://schemas.openxmlformats.org/officeDocument/2006/relationships/hyperlink" Target="https://drive.google.com/open?id=1LtVb5StQBOZSj6eTAHvauqsoRLqbTSML" TargetMode="External"/><Relationship Id="rId3" Type="http://schemas.openxmlformats.org/officeDocument/2006/relationships/hyperlink" Target="https://drive.google.com/open?id=1A_rY5yzJBVJmR94FX1yg5_t5gVB_DXSb" TargetMode="External"/><Relationship Id="rId4" Type="http://schemas.openxmlformats.org/officeDocument/2006/relationships/hyperlink" Target="https://drive.google.com/open?id=1te4UZ77P0ET3zQMWcK4_mgXtL4Wtg6c1" TargetMode="External"/><Relationship Id="rId9" Type="http://schemas.openxmlformats.org/officeDocument/2006/relationships/hyperlink" Target="https://www.iea.org/commentaries/economic-diversification-for-oil-and-gas-exporters-doesnt-mean-leaving-energy-behind" TargetMode="External"/><Relationship Id="rId5" Type="http://schemas.openxmlformats.org/officeDocument/2006/relationships/hyperlink" Target="https://drive.google.com/open?id=1YTyNOJ7_z7nN8MOZXBQ4YY6emHTl66LK" TargetMode="External"/><Relationship Id="rId6" Type="http://schemas.openxmlformats.org/officeDocument/2006/relationships/hyperlink" Target="https://drive.google.com/open?id=1gy0FQPeabBq-ml5PQ65lr2HoTYd8VEsm" TargetMode="External"/><Relationship Id="rId7" Type="http://schemas.openxmlformats.org/officeDocument/2006/relationships/hyperlink" Target="https://foreignpolicy.com/2020/05/13/coronavirus-pandemic-depression-economy-world-war/" TargetMode="External"/><Relationship Id="rId8" Type="http://schemas.openxmlformats.org/officeDocument/2006/relationships/hyperlink" Target="https://drive.google.com/open?id=1kKQvejM0dobUL4RUTyUdA_kRa6XR3dsk"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open?id=1XM2lvDCyhE42o5o5m8WGMDnioMjh_iFH" TargetMode="External"/><Relationship Id="rId2" Type="http://schemas.openxmlformats.org/officeDocument/2006/relationships/hyperlink" Target="https://drive.google.com/open?id=1QQdG5loTr9Rzjah__PpUd29Kfr61VrEH" TargetMode="External"/><Relationship Id="rId3" Type="http://schemas.openxmlformats.org/officeDocument/2006/relationships/hyperlink" Target="https://drive.google.com/open?id=1vBh_4_MbeBECukbo_AoMij-zYss8x8zk"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0" Type="http://schemas.openxmlformats.org/officeDocument/2006/relationships/drawing" Target="../drawings/drawing9.xml"/><Relationship Id="rId1" Type="http://schemas.openxmlformats.org/officeDocument/2006/relationships/hyperlink" Target="https://drive.google.com/open?id=1Rpi5GCR3_4IuF2cGCXBNTciIatw-qjgY" TargetMode="External"/><Relationship Id="rId2" Type="http://schemas.openxmlformats.org/officeDocument/2006/relationships/hyperlink" Target="https://drive.google.com/open?id=1m1bkcCwex77sTJfqkS264CaHJPikYNSx" TargetMode="External"/><Relationship Id="rId3" Type="http://schemas.openxmlformats.org/officeDocument/2006/relationships/hyperlink" Target="https://drive.google.com/open?id=1Rpi5GCR3_4IuF2cGCXBNTciIatw-qjgY" TargetMode="External"/><Relationship Id="rId4" Type="http://schemas.openxmlformats.org/officeDocument/2006/relationships/hyperlink" Target="https://drive.google.com/open?id=1FMrC_V0HjnR8iN850vElSXT2AMKoT-rn" TargetMode="External"/><Relationship Id="rId9" Type="http://schemas.openxmlformats.org/officeDocument/2006/relationships/hyperlink" Target="https://drive.google.com/open?id=1abeX2L4AVqo3963YQ77xnOafxuaGzP4N" TargetMode="External"/><Relationship Id="rId5" Type="http://schemas.openxmlformats.org/officeDocument/2006/relationships/hyperlink" Target="https://drive.google.com/open?id=1FMrC_V0HjnR8iN850vElSXT2AMKoT-rn" TargetMode="External"/><Relationship Id="rId6" Type="http://schemas.openxmlformats.org/officeDocument/2006/relationships/hyperlink" Target="https://drive.google.com/open?id=13LFQgg47KVT2pkWt3eb-8l_L358xM2jS" TargetMode="External"/><Relationship Id="rId7" Type="http://schemas.openxmlformats.org/officeDocument/2006/relationships/hyperlink" Target="https://drive.google.com/open?id=14U0PkiLCA6c736YwznNxEYmKTPcy-YDs" TargetMode="External"/><Relationship Id="rId8" Type="http://schemas.openxmlformats.org/officeDocument/2006/relationships/hyperlink" Target="https://drive.google.com/open?id=1m1bkcCwex77sTJfqkS264CaHJPikYNSx"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14.38"/>
    <col customWidth="1" min="3" max="3" width="22.88"/>
    <col customWidth="1" min="4" max="4" width="18.25"/>
    <col customWidth="1" min="11" max="11" width="29.63"/>
  </cols>
  <sheetData>
    <row r="1">
      <c r="A1" s="1" t="str">
        <f>IFERROR(__xludf.DUMMYFUNCTION("IMPORTRANGE(""https://docs.google.com/spreadsheets/d/1Xvto9aZ41LqFA1E7FvPgERmaxLjWHFsje_9u178Im2I/edit?usp=sharing"", ""Form Responses 1!A:K"")"),"Timestamp")</f>
        <v>Timestamp</v>
      </c>
      <c r="B1" s="1" t="str">
        <f>IFERROR(__xludf.DUMMYFUNCTION("""COMPUTED_VALUE"""),"Email Address")</f>
        <v>Email Address</v>
      </c>
      <c r="C1" s="1" t="str">
        <f>IFERROR(__xludf.DUMMYFUNCTION("""COMPUTED_VALUE"""),"APA-COMPLIANT CITATION (For guidance, see this resource).
EXAMPLE: Tannenwald, N. (2013). Justice and fairness in the nuclear nonproliferation regime. Ethics &amp; International Affairs, 27(3), 299-317")</f>
        <v>APA-COMPLIANT CITATION (For guidance, see this resource).
EXAMPLE: Tannenwald, N. (2013). Justice and fairness in the nuclear nonproliferation regime. Ethics &amp; International Affairs, 27(3), 299-317</v>
      </c>
      <c r="D1" s="1" t="str">
        <f>IFERROR(__xludf.DUMMYFUNCTION("""COMPUTED_VALUE"""),"AUTHOR(S) QUALIFICATIONS AT PUBLICATION")</f>
        <v>AUTHOR(S) QUALIFICATIONS AT PUBLICATION</v>
      </c>
      <c r="E1" s="1" t="str">
        <f>IFERROR(__xludf.DUMMYFUNCTION("""COMPUTED_VALUE"""),"RELATION TO TOPIC")</f>
        <v>RELATION TO TOPIC</v>
      </c>
      <c r="F1" s="1" t="str">
        <f>IFERROR(__xludf.DUMMYFUNCTION("""COMPUTED_VALUE"""),"TOPIC ARGUMENT(S) SUPPORTED
Select the relevant topic area for your article. If it applies to multiple (such as a negative off-case position) provide a brief description in the ""other"" category. 
EXAMPLE: develops the Reliability Disadvantage")</f>
        <v>TOPIC ARGUMENT(S) SUPPORTED
Select the relevant topic area for your article. If it applies to multiple (such as a negative off-case position) provide a brief description in the "other" category. 
EXAMPLE: develops the Reliability Disadvantage</v>
      </c>
      <c r="G1" s="1" t="str">
        <f>IFERROR(__xludf.DUMMYFUNCTION("""COMPUTED_VALUE"""),"CONTRIBUTOR ABSTRACT
Summarize the primary arguments in the document and what role the article will play in the library")</f>
        <v>CONTRIBUTOR ABSTRACT
Summarize the primary arguments in the document and what role the article will play in the library</v>
      </c>
      <c r="H1" s="1" t="str">
        <f>IFERROR(__xludf.DUMMYFUNCTION("""COMPUTED_VALUE"""),"ORIGINAL ABSTRACT (if available)")</f>
        <v>ORIGINAL ABSTRACT (if available)</v>
      </c>
      <c r="I1" s="1" t="str">
        <f>IFERROR(__xludf.DUMMYFUNCTION("""COMPUTED_VALUE"""),"CONTRIBUTOR LAST NAME and INSTITUTION
EXAMPLE: Johnson WSU")</f>
        <v>CONTRIBUTOR LAST NAME and INSTITUTION
EXAMPLE: Johnson WSU</v>
      </c>
      <c r="J1" s="1" t="str">
        <f>IFERROR(__xludf.DUMMYFUNCTION("""COMPUTED_VALUE"""),"LIBRARY DEVELOPMENT WAVE
Which wave of development are you contributing this article for?")</f>
        <v>LIBRARY DEVELOPMENT WAVE
Which wave of development are you contributing this article for?</v>
      </c>
      <c r="K1" s="2" t="str">
        <f>IFERROR(__xludf.DUMMYFUNCTION("""COMPUTED_VALUE"""),"UPLOAD SEARCHABLE PDF FULL-TEXT DOCUMENT")</f>
        <v>UPLOAD SEARCHABLE PDF FULL-TEXT DOCUMENT</v>
      </c>
      <c r="L1" s="3" t="s">
        <v>0</v>
      </c>
    </row>
    <row r="2">
      <c r="A2" s="4">
        <f>IFERROR(__xludf.DUMMYFUNCTION("""COMPUTED_VALUE"""),45529.614820428236)</f>
        <v>45529.61482</v>
      </c>
      <c r="B2" s="1" t="str">
        <f>IFERROR(__xludf.DUMMYFUNCTION("""COMPUTED_VALUE"""),"riley.rosalie@gmail.com")</f>
        <v>riley.rosalie@gmail.com</v>
      </c>
      <c r="C2" s="1" t="str">
        <f>IFERROR(__xludf.DUMMYFUNCTION("""COMPUTED_VALUE"""),"Schoenmaker, D. (2 April 2016). ""Financial risks and opportunities in the time of climate change"". Bruegal Policy Brief, Issue 2016")</f>
        <v>Schoenmaker, D. (2 April 2016). "Financial risks and opportunities in the time of climate change". Bruegal Policy Brief, Issue 2016</v>
      </c>
      <c r="D2" s="1" t="str">
        <f>IFERROR(__xludf.DUMMYFUNCTION("""COMPUTED_VALUE"""),"Senior Fellow at Bruegel and Professor of Banking and Finance at Rotterdam School of Management, Erasmus University Rotterdam")</f>
        <v>Senior Fellow at Bruegel and Professor of Banking and Finance at Rotterdam School of Management, Erasmus University Rotterdam</v>
      </c>
      <c r="E2" s="1" t="str">
        <f>IFERROR(__xludf.DUMMYFUNCTION("""COMPUTED_VALUE"""),"NEGATIVE")</f>
        <v>NEGATIVE</v>
      </c>
      <c r="F2" s="1" t="str">
        <f>IFERROR(__xludf.DUMMYFUNCTION("""COMPUTED_VALUE"""),"Carbon Bubble DA")</f>
        <v>Carbon Bubble DA</v>
      </c>
      <c r="G2" s="1" t="str">
        <f>IFERROR(__xludf.DUMMYFUNCTION("""COMPUTED_VALUE"""),"Huge changes to energy policy in the United States, particularly a transition to a low-carbon economy, could lead to economic shocks and wreck the entire financial system. Link to the Carbon Bubble DA")</f>
        <v>Huge changes to energy policy in the United States, particularly a transition to a low-carbon economy, could lead to economic shocks and wreck the entire financial system. Link to the Carbon Bubble DA</v>
      </c>
      <c r="H2" s="1" t="str">
        <f>IFERROR(__xludf.DUMMYFUNCTION("""COMPUTED_VALUE"""),"Real economic imbalances can lead to financial crisis. The current
unsustainable use of our environment is such an imbalance. Financial shocks
can be triggered by either intensified environmental policies, cleantech breakthroughs (both resulting in the st"&amp;"randing of unsustainable assets), or the
economic costs of crossing ecological boundaries (eg floods and droughts due
to climate change). Financial supervisors and risk managers have so far paid
little attention to this ecological dimension, allowing syst"&amp;"emic financial imbalances resulting from ecological pressures to build up. Inattention also leads to
missed economic and financial opportunities from the sustainability transition.")</f>
        <v>Real economic imbalances can lead to financial crisis. The current
unsustainable use of our environment is such an imbalance. Financial shocks
can be triggered by either intensified environmental policies, cleantech breakthroughs (both resulting in the stranding of unsustainable assets), or the
economic costs of crossing ecological boundaries (eg floods and droughts due
to climate change). Financial supervisors and risk managers have so far paid
little attention to this ecological dimension, allowing systemic financial imbalances resulting from ecological pressures to build up. Inattention also leads to
missed economic and financial opportunities from the sustainability transition.</v>
      </c>
      <c r="I2" s="1" t="str">
        <f>IFERROR(__xludf.DUMMYFUNCTION("""COMPUTED_VALUE"""),"Talamantes WSU")</f>
        <v>Talamantes WSU</v>
      </c>
      <c r="J2" s="1" t="str">
        <f>IFERROR(__xludf.DUMMYFUNCTION("""COMPUTED_VALUE"""),"1 (due   )")</f>
        <v>1 (due   )</v>
      </c>
      <c r="K2" s="5" t="str">
        <f>IFERROR(__xludf.DUMMYFUNCTION("""COMPUTED_VALUE"""),"https://drive.google.com/open?id=1f-OYoCvfKVboTgbyfV9-T__P9DVA6Bag")</f>
        <v>https://drive.google.com/open?id=1f-OYoCvfKVboTgbyfV9-T__P9DVA6Bag</v>
      </c>
      <c r="L2" s="3" t="s">
        <v>1</v>
      </c>
    </row>
    <row r="3">
      <c r="A3" s="4">
        <f>IFERROR(__xludf.DUMMYFUNCTION("""COMPUTED_VALUE"""),45529.624649537036)</f>
        <v>45529.62465</v>
      </c>
      <c r="B3" s="1" t="str">
        <f>IFERROR(__xludf.DUMMYFUNCTION("""COMPUTED_VALUE"""),"riley.rosalie@gmail.com")</f>
        <v>riley.rosalie@gmail.com</v>
      </c>
      <c r="C3" s="1" t="str">
        <f>IFERROR(__xludf.DUMMYFUNCTION("""COMPUTED_VALUE"""),"Mcnamee, B. (14 March 2024). Electric Transmission Buildout Could Cost Americans Trillions of Dollars. Real Clear Energy. https://www.realclearenergy.org/articles/2024/03/14/electric_transmission_buildout_could_cost_americans_trillions_of_dollars_1018392."&amp;"html#:~:text=The%20solution%3A%20a%20wave%20of,transmission%20lines%20to%20more%20Americans.")</f>
        <v>Mcnamee, B. (14 March 2024). Electric Transmission Buildout Could Cost Americans Trillions of Dollars. Real Clear Energy. https://www.realclearenergy.org/articles/2024/03/14/electric_transmission_buildout_could_cost_americans_trillions_of_dollars_1018392.html#:~:text=The%20solution%3A%20a%20wave%20of,transmission%20lines%20to%20more%20Americans.</v>
      </c>
      <c r="D3" s="1" t="str">
        <f>IFERROR(__xludf.DUMMYFUNCTION("""COMPUTED_VALUE"""),"Reporter at Real Clear Energy, Former FERC Commissioner, served in the U.S. Department of Energy as executive director of the Office of Policy and deputy general counsel for energy policy")</f>
        <v>Reporter at Real Clear Energy, Former FERC Commissioner, served in the U.S. Department of Energy as executive director of the Office of Policy and deputy general counsel for energy policy</v>
      </c>
      <c r="E3" s="1" t="str">
        <f>IFERROR(__xludf.DUMMYFUNCTION("""COMPUTED_VALUE"""),"NEGATIVE")</f>
        <v>NEGATIVE</v>
      </c>
      <c r="F3" s="1" t="str">
        <f>IFERROR(__xludf.DUMMYFUNCTION("""COMPUTED_VALUE"""),"Carbon Bubble DA")</f>
        <v>Carbon Bubble DA</v>
      </c>
      <c r="G3" s="1" t="str">
        <f>IFERROR(__xludf.DUMMYFUNCTION("""COMPUTED_VALUE"""),"high voltage transmission lines are incredibly expensive for middle class americans and u.s. businesses, creation of new energy lines would trigger econ recession, transmission link to carbon bubble")</f>
        <v>high voltage transmission lines are incredibly expensive for middle class americans and u.s. businesses, creation of new energy lines would trigger econ recession, transmission link to carbon bubble</v>
      </c>
      <c r="H3" s="1"/>
      <c r="I3" s="1" t="str">
        <f>IFERROR(__xludf.DUMMYFUNCTION("""COMPUTED_VALUE"""),"Talamantes WSU")</f>
        <v>Talamantes WSU</v>
      </c>
      <c r="J3" s="1" t="str">
        <f>IFERROR(__xludf.DUMMYFUNCTION("""COMPUTED_VALUE"""),"1 (due   )")</f>
        <v>1 (due   )</v>
      </c>
      <c r="K3" s="5" t="str">
        <f>IFERROR(__xludf.DUMMYFUNCTION("""COMPUTED_VALUE"""),"https://drive.google.com/open?id=1dPow_vImsOLjP2-7xXt0Og-cly925GA8")</f>
        <v>https://drive.google.com/open?id=1dPow_vImsOLjP2-7xXt0Og-cly925GA8</v>
      </c>
      <c r="L3" s="3" t="s">
        <v>2</v>
      </c>
    </row>
    <row r="4">
      <c r="A4" s="4">
        <f>IFERROR(__xludf.DUMMYFUNCTION("""COMPUTED_VALUE"""),45529.629792893524)</f>
        <v>45529.62979</v>
      </c>
      <c r="B4" s="1" t="str">
        <f>IFERROR(__xludf.DUMMYFUNCTION("""COMPUTED_VALUE"""),"riley.rosalie@gmail.com")</f>
        <v>riley.rosalie@gmail.com</v>
      </c>
      <c r="C4" s="1" t="str">
        <f>IFERROR(__xludf.DUMMYFUNCTION("""COMPUTED_VALUE"""),"Goudarzi, L. &amp; Wood, F. (2017). ""The Impacts of Restricting Fossil Fuel Energy Production"", https://www.api.org/-/media/files/policy/american-energy/impacts-of-restricting-fossil-fuels-report.pdf")</f>
        <v>Goudarzi, L. &amp; Wood, F. (2017). "The Impacts of Restricting Fossil Fuel Energy Production", https://www.api.org/-/media/files/policy/american-energy/impacts-of-restricting-fossil-fuels-report.pdf</v>
      </c>
      <c r="D4" s="1" t="str">
        <f>IFERROR(__xludf.DUMMYFUNCTION("""COMPUTED_VALUE"""),"Lessly Goudarzi is the founder and strategic adviser Onlocation, consulting firm specializing in energy and environmental policy analysis, Frances Wood is a Senior Director of Analysis of Onlocation, she is recognized expert in the National Energy Modelin"&amp;"g System (NEMS) and has performed policy analyses using a variety of integrated energy models (including NEMS) to provide comprehensive representations of the energy market")</f>
        <v>Lessly Goudarzi is the founder and strategic adviser Onlocation, consulting firm specializing in energy and environmental policy analysis, Frances Wood is a Senior Director of Analysis of Onlocation, she is recognized expert in the National Energy Modeling System (NEMS) and has performed policy analyses using a variety of integrated energy models (including NEMS) to provide comprehensive representations of the energy market</v>
      </c>
      <c r="E4" s="1" t="str">
        <f>IFERROR(__xludf.DUMMYFUNCTION("""COMPUTED_VALUE"""),"NEGATIVE")</f>
        <v>NEGATIVE</v>
      </c>
      <c r="F4" s="1" t="str">
        <f>IFERROR(__xludf.DUMMYFUNCTION("""COMPUTED_VALUE"""),"Carbon Bubble DA")</f>
        <v>Carbon Bubble DA</v>
      </c>
      <c r="G4" s="1" t="str">
        <f>IFERROR(__xludf.DUMMYFUNCTION("""COMPUTED_VALUE"""),"Uses modeling to determine the economic impact of removing fossil fuel subsidies, and creating drastic changes to current us energy infrastructure, very specific on gdp &amp; job loss ")</f>
        <v>Uses modeling to determine the economic impact of removing fossil fuel subsidies, and creating drastic changes to current us energy infrastructure, very specific on gdp &amp; job loss </v>
      </c>
      <c r="H4" s="1"/>
      <c r="I4" s="1" t="str">
        <f>IFERROR(__xludf.DUMMYFUNCTION("""COMPUTED_VALUE"""),"Talamantes WSU")</f>
        <v>Talamantes WSU</v>
      </c>
      <c r="J4" s="1" t="str">
        <f>IFERROR(__xludf.DUMMYFUNCTION("""COMPUTED_VALUE"""),"1 (due   )")</f>
        <v>1 (due   )</v>
      </c>
      <c r="K4" s="5" t="str">
        <f>IFERROR(__xludf.DUMMYFUNCTION("""COMPUTED_VALUE"""),"https://drive.google.com/open?id=1A_rY5yzJBVJmR94FX1yg5_t5gVB_DXSb")</f>
        <v>https://drive.google.com/open?id=1A_rY5yzJBVJmR94FX1yg5_t5gVB_DXSb</v>
      </c>
      <c r="L4" s="3" t="s">
        <v>1</v>
      </c>
    </row>
    <row r="5">
      <c r="A5" s="4">
        <f>IFERROR(__xludf.DUMMYFUNCTION("""COMPUTED_VALUE"""),45529.667447685184)</f>
        <v>45529.66745</v>
      </c>
      <c r="B5" s="1" t="str">
        <f>IFERROR(__xludf.DUMMYFUNCTION("""COMPUTED_VALUE"""),"riley.rosalie@gmail.com")</f>
        <v>riley.rosalie@gmail.com</v>
      </c>
      <c r="C5" s="1" t="str">
        <f>IFERROR(__xludf.DUMMYFUNCTION("""COMPUTED_VALUE"""),"Maavak, M. (2021). Horizon 2030: Will Emerging Risks Unravel Our Global Systems. Salus Journal – The Australian Journal for Law Enforcement, Security and Intelligence Professionals, 9(1), 2-8")</f>
        <v>Maavak, M. (2021). Horizon 2030: Will Emerging Risks Unravel Our Global Systems. Salus Journal – The Australian Journal for Law Enforcement, Security and Intelligence Professionals, 9(1), 2-8</v>
      </c>
      <c r="D5" s="1" t="str">
        <f>IFERROR(__xludf.DUMMYFUNCTION("""COMPUTED_VALUE"""),"PhD in Risk Foresight from the Universiti Teknologi Malaysia, External Researcher (PLATBIDAFO) at the Kazimieras Simonavicius University, Expert and Regular Commentator on Risk-Related Geostrategic Issues at the Russian International Affairs Council")</f>
        <v>PhD in Risk Foresight from the Universiti Teknologi Malaysia, External Researcher (PLATBIDAFO) at the Kazimieras Simonavicius University, Expert and Regular Commentator on Risk-Related Geostrategic Issues at the Russian International Affairs Council</v>
      </c>
      <c r="E5" s="1" t="str">
        <f>IFERROR(__xludf.DUMMYFUNCTION("""COMPUTED_VALUE"""),"NEGATIVE")</f>
        <v>NEGATIVE</v>
      </c>
      <c r="F5" s="1" t="str">
        <f>IFERROR(__xludf.DUMMYFUNCTION("""COMPUTED_VALUE"""),"Carbon Bubble DA")</f>
        <v>Carbon Bubble DA</v>
      </c>
      <c r="G5" s="1" t="str">
        <f>IFERROR(__xludf.DUMMYFUNCTION("""COMPUTED_VALUE"""),"economic decline leading to global instability, stresses that sectors are intertwined, economic stressors from gdp and job loss leading to geopolitical instability, examples of historical precedent")</f>
        <v>economic decline leading to global instability, stresses that sectors are intertwined, economic stressors from gdp and job loss leading to geopolitical instability, examples of historical precedent</v>
      </c>
      <c r="H5" s="1" t="str">
        <f>IFERROR(__xludf.DUMMYFUNCTION("""COMPUTED_VALUE"""),"Various scholars and institutions regard global social instability as the greatest threat facing this decade. The catalyst has been postulated to be a Second Great Depression which, in turn, will have profound implications for global security and national"&amp;" integrity. This paper, written from a broad systems perspective, illustrates how emerging risks are getting more complex and intertwined; blurring boundaries between the economic, environmental, geopolitical, societal and technological taxonomy used by t"&amp;"he World Economic Forum for its annual global risk forecasts. Tight couplings in our global systems have also enabled risks accrued in one area to snowball into a full-blown crisis elsewhere. The COVID-19 pandemic and its socioeconomic fallouts exemplify "&amp;"this systemic chain-reaction. Onceinexorable forces of globalization are rupturing as the current global system can no longer be sustained due to poor governance and runaway wealth fractionation. The coronavirus pandemic is also enabling Big Tech to expro"&amp;"priate the levers of governments and mass communications worldwide. This paper concludes by highlighting how this development poses a dilemma for security professionals. ")</f>
        <v>Various scholars and institutions regard global social instability as the greatest threat facing this decade. The catalyst has been postulated to be a Second Great Depression which, in turn, will have profound implications for global security and national integrity. This paper, written from a broad systems perspective, illustrates how emerging risks are getting more complex and intertwined; blurring boundaries between the economic, environmental, geopolitical, societal and technological taxonomy used by the World Economic Forum for its annual global risk forecasts. Tight couplings in our global systems have also enabled risks accrued in one area to snowball into a full-blown crisis elsewhere. The COVID-19 pandemic and its socioeconomic fallouts exemplify this systemic chain-reaction. Onceinexorable forces of globalization are rupturing as the current global system can no longer be sustained due to poor governance and runaway wealth fractionation. The coronavirus pandemic is also enabling Big Tech to expropriate the levers of governments and mass communications worldwide. This paper concludes by highlighting how this development poses a dilemma for security professionals. </v>
      </c>
      <c r="I5" s="1" t="str">
        <f>IFERROR(__xludf.DUMMYFUNCTION("""COMPUTED_VALUE"""),"Talamantes WSU")</f>
        <v>Talamantes WSU</v>
      </c>
      <c r="J5" s="1" t="str">
        <f>IFERROR(__xludf.DUMMYFUNCTION("""COMPUTED_VALUE"""),"1 (due   )")</f>
        <v>1 (due   )</v>
      </c>
      <c r="K5" s="5" t="str">
        <f>IFERROR(__xludf.DUMMYFUNCTION("""COMPUTED_VALUE"""),"https://drive.google.com/open?id=1te4UZ77P0ET3zQMWcK4_mgXtL4Wtg6c1")</f>
        <v>https://drive.google.com/open?id=1te4UZ77P0ET3zQMWcK4_mgXtL4Wtg6c1</v>
      </c>
      <c r="L5" s="3" t="s">
        <v>1</v>
      </c>
    </row>
    <row r="6">
      <c r="A6" s="4">
        <f>IFERROR(__xludf.DUMMYFUNCTION("""COMPUTED_VALUE"""),45529.67089324074)</f>
        <v>45529.67089</v>
      </c>
      <c r="B6" s="1" t="str">
        <f>IFERROR(__xludf.DUMMYFUNCTION("""COMPUTED_VALUE"""),"riley.rosalie@gmail.com")</f>
        <v>riley.rosalie@gmail.com</v>
      </c>
      <c r="C6" s="1" t="str">
        <f>IFERROR(__xludf.DUMMYFUNCTION("""COMPUTED_VALUE"""),"Patnaik, S. &amp; Kennedy, K. (7 October 2021). ""Why the US should establish a carbon price either through reconciliation or other legislation"", Brookings, https://www.brookings.edu/articles/why-the-us-should-establish-a-carbon-price-either-through-reconcil"&amp;"iation-or-other-legislation/")</f>
        <v>Patnaik, S. &amp; Kennedy, K. (7 October 2021). "Why the US should establish a carbon price either through reconciliation or other legislation", Brookings, https://www.brookings.edu/articles/why-the-us-should-establish-a-carbon-price-either-through-reconciliation-or-other-legislation/</v>
      </c>
      <c r="D6" s="1" t="str">
        <f>IFERROR(__xludf.DUMMYFUNCTION("""COMPUTED_VALUE"""),"Sanjay Patnaik is the Director of the Center on Regulation and Markets, Bernard L. Schwartz Chair in Economic Policy Development, and Senior Fellow in Economic Studies, all Brookings. Kelly Kennedy is a Fellow at the Initiative for Sustainable Energy Poli"&amp;"cy, Johns Hopkins University, has a doctorate from Harvard University, and is a senior research assistant for the Center on Regulation and Markets at Brookings. ")</f>
        <v>Sanjay Patnaik is the Director of the Center on Regulation and Markets, Bernard L. Schwartz Chair in Economic Policy Development, and Senior Fellow in Economic Studies, all Brookings. Kelly Kennedy is a Fellow at the Initiative for Sustainable Energy Policy, Johns Hopkins University, has a doctorate from Harvard University, and is a senior research assistant for the Center on Regulation and Markets at Brookings. </v>
      </c>
      <c r="E6" s="1" t="str">
        <f>IFERROR(__xludf.DUMMYFUNCTION("""COMPUTED_VALUE"""),"NEGATIVE")</f>
        <v>NEGATIVE</v>
      </c>
      <c r="F6" s="1" t="str">
        <f>IFERROR(__xludf.DUMMYFUNCTION("""COMPUTED_VALUE"""),"Carbon Bubble DA")</f>
        <v>Carbon Bubble DA</v>
      </c>
      <c r="G6" s="1" t="str">
        <f>IFERROR(__xludf.DUMMYFUNCTION("""COMPUTED_VALUE"""),"Carbon pricing schemes exist around the world, but are largely ineffective at reducing emissions now because their prices are too low, plan creates massive shift, provides answers to UQ thumper")</f>
        <v>Carbon pricing schemes exist around the world, but are largely ineffective at reducing emissions now because their prices are too low, plan creates massive shift, provides answers to UQ thumper</v>
      </c>
      <c r="H6" s="1"/>
      <c r="I6" s="1" t="str">
        <f>IFERROR(__xludf.DUMMYFUNCTION("""COMPUTED_VALUE"""),"Talamantes WSU")</f>
        <v>Talamantes WSU</v>
      </c>
      <c r="J6" s="1" t="str">
        <f>IFERROR(__xludf.DUMMYFUNCTION("""COMPUTED_VALUE"""),"1 (due   )")</f>
        <v>1 (due   )</v>
      </c>
      <c r="K6" s="5" t="str">
        <f>IFERROR(__xludf.DUMMYFUNCTION("""COMPUTED_VALUE"""),"https://drive.google.com/open?id=15TYXozFTRyBNIX5WGaCV5chE1JMaCzTu")</f>
        <v>https://drive.google.com/open?id=15TYXozFTRyBNIX5WGaCV5chE1JMaCzTu</v>
      </c>
      <c r="L6" s="3" t="s">
        <v>2</v>
      </c>
    </row>
    <row r="7">
      <c r="A7" s="4">
        <f>IFERROR(__xludf.DUMMYFUNCTION("""COMPUTED_VALUE"""),45529.68210846065)</f>
        <v>45529.68211</v>
      </c>
      <c r="B7" s="1" t="str">
        <f>IFERROR(__xludf.DUMMYFUNCTION("""COMPUTED_VALUE"""),"riley.rosalie@gmail.com")</f>
        <v>riley.rosalie@gmail.com</v>
      </c>
      <c r="C7" s="1" t="str">
        <f>IFERROR(__xludf.DUMMYFUNCTION("""COMPUTED_VALUE"""),"Beckman, K. (10 September 2018). ""DNV GL’s Energy Transition Outlook shows massive shift of investment from oil and gas into power lines."" Energy Central, https://energypost.eu/dnv-gls-energy-transition-outlook-shows-massive-shift-of-investment-from-oil"&amp;"-and-gas-into-power-lines/")</f>
        <v>Beckman, K. (10 September 2018). "DNV GL’s Energy Transition Outlook shows massive shift of investment from oil and gas into power lines." Energy Central, https://energypost.eu/dnv-gls-energy-transition-outlook-shows-massive-shift-of-investment-from-oil-and-gas-into-power-lines/</v>
      </c>
      <c r="D7" s="1" t="str">
        <f>IFERROR(__xludf.DUMMYFUNCTION("""COMPUTED_VALUE"""),"Co-Founder and Editor of Energy Post, a European Energy Newspaper,  energy journalist")</f>
        <v>Co-Founder and Editor of Energy Post, a European Energy Newspaper,  energy journalist</v>
      </c>
      <c r="E7" s="1" t="str">
        <f>IFERROR(__xludf.DUMMYFUNCTION("""COMPUTED_VALUE"""),"NEGATIVE")</f>
        <v>NEGATIVE</v>
      </c>
      <c r="F7" s="1" t="str">
        <f>IFERROR(__xludf.DUMMYFUNCTION("""COMPUTED_VALUE"""),"Carbon Bubble DA")</f>
        <v>Carbon Bubble DA</v>
      </c>
      <c r="G7" s="1" t="str">
        <f>IFERROR(__xludf.DUMMYFUNCTION("""COMPUTED_VALUE"""),"Uses models to discuss power line/electric transmission expansion, potential to create mass uncertainty with the fossil fuel industry and create stranded assets that inflate the carbon bubble")</f>
        <v>Uses models to discuss power line/electric transmission expansion, potential to create mass uncertainty with the fossil fuel industry and create stranded assets that inflate the carbon bubble</v>
      </c>
      <c r="H7" s="1"/>
      <c r="I7" s="1" t="str">
        <f>IFERROR(__xludf.DUMMYFUNCTION("""COMPUTED_VALUE"""),"Talamantes WSU")</f>
        <v>Talamantes WSU</v>
      </c>
      <c r="J7" s="1" t="str">
        <f>IFERROR(__xludf.DUMMYFUNCTION("""COMPUTED_VALUE"""),"1 (due   )")</f>
        <v>1 (due   )</v>
      </c>
      <c r="K7" s="5" t="str">
        <f>IFERROR(__xludf.DUMMYFUNCTION("""COMPUTED_VALUE"""),"https://drive.google.com/open?id=1YTyNOJ7_z7nN8MOZXBQ4YY6emHTl66LK")</f>
        <v>https://drive.google.com/open?id=1YTyNOJ7_z7nN8MOZXBQ4YY6emHTl66LK</v>
      </c>
      <c r="L7" s="3" t="s">
        <v>2</v>
      </c>
    </row>
    <row r="8">
      <c r="A8" s="4">
        <f>IFERROR(__xludf.DUMMYFUNCTION("""COMPUTED_VALUE"""),45529.68632811343)</f>
        <v>45529.68633</v>
      </c>
      <c r="B8" s="1" t="str">
        <f>IFERROR(__xludf.DUMMYFUNCTION("""COMPUTED_VALUE"""),"riley.rosalie@gmail.com")</f>
        <v>riley.rosalie@gmail.com</v>
      </c>
      <c r="C8" s="1" t="str">
        <f>IFERROR(__xludf.DUMMYFUNCTION("""COMPUTED_VALUE"""),"Berlin, K. &amp; Willy, F. (24 August 2023). Transitioning to the clean energy grid: A deep dive into the levelized cost of electricity."" https://www.atlanticcouncil.org/in-depth-research-reports/issue-brief/transitioning-to-the-clean-energy-grid-a-deep-dive"&amp;"-into-the-levelized-cost-of-electricity/")</f>
        <v>Berlin, K. &amp; Willy, F. (24 August 2023). Transitioning to the clean energy grid: A deep dive into the levelized cost of electricity." https://www.atlanticcouncil.org/in-depth-research-reports/issue-brief/transitioning-to-the-clean-energy-grid-a-deep-dive-into-the-levelized-cost-of-electricity/</v>
      </c>
      <c r="D8" s="1" t="str">
        <f>IFERROR(__xludf.DUMMYFUNCTION("""COMPUTED_VALUE"""),"Ken Berlin is a Senior Fellow at the Atlantic Council. Frank Willy is a Program Assistant at the Atlantic Council, both have extensive experience in energy policy research")</f>
        <v>Ken Berlin is a Senior Fellow at the Atlantic Council. Frank Willy is a Program Assistant at the Atlantic Council, both have extensive experience in energy policy research</v>
      </c>
      <c r="E8" s="1" t="str">
        <f>IFERROR(__xludf.DUMMYFUNCTION("""COMPUTED_VALUE"""),"NEGATIVE")</f>
        <v>NEGATIVE</v>
      </c>
      <c r="F8" s="1" t="str">
        <f>IFERROR(__xludf.DUMMYFUNCTION("""COMPUTED_VALUE"""),"Carbon Bubble DA")</f>
        <v>Carbon Bubble DA</v>
      </c>
      <c r="G8" s="1" t="str">
        <f>IFERROR(__xludf.DUMMYFUNCTION("""COMPUTED_VALUE"""),"uses profitability metrics to determine how plan would be perceived by the fossil fuel industry, expense of building mass electric transmission accelerates the bubble bc it leaves assets stranded")</f>
        <v>uses profitability metrics to determine how plan would be perceived by the fossil fuel industry, expense of building mass electric transmission accelerates the bubble bc it leaves assets stranded</v>
      </c>
      <c r="H8" s="1"/>
      <c r="I8" s="1" t="str">
        <f>IFERROR(__xludf.DUMMYFUNCTION("""COMPUTED_VALUE"""),"Talamantes WSU")</f>
        <v>Talamantes WSU</v>
      </c>
      <c r="J8" s="1" t="str">
        <f>IFERROR(__xludf.DUMMYFUNCTION("""COMPUTED_VALUE"""),"1 (due   )")</f>
        <v>1 (due   )</v>
      </c>
      <c r="K8" s="5" t="str">
        <f>IFERROR(__xludf.DUMMYFUNCTION("""COMPUTED_VALUE"""),"https://drive.google.com/open?id=1gy0FQPeabBq-ml5PQ65lr2HoTYd8VEsm")</f>
        <v>https://drive.google.com/open?id=1gy0FQPeabBq-ml5PQ65lr2HoTYd8VEsm</v>
      </c>
      <c r="L8" s="3" t="s">
        <v>1</v>
      </c>
    </row>
    <row r="9">
      <c r="A9" s="4">
        <f>IFERROR(__xludf.DUMMYFUNCTION("""COMPUTED_VALUE"""),45529.688662939814)</f>
        <v>45529.68866</v>
      </c>
      <c r="B9" s="1" t="str">
        <f>IFERROR(__xludf.DUMMYFUNCTION("""COMPUTED_VALUE"""),"riley.rosalie@gmail.com")</f>
        <v>riley.rosalie@gmail.com</v>
      </c>
      <c r="C9" s="1" t="str">
        <f>IFERROR(__xludf.DUMMYFUNCTION("""COMPUTED_VALUE"""),"Williams-Derry, C. &amp; G. Smith (7 April 2021). ""Oil and gas: An industry in decline"", Environmental Working Group, https://www.ewg.org/news-insights/news/oil-and-gas-industry-decline")</f>
        <v>Williams-Derry, C. &amp; G. Smith (7 April 2021). "Oil and gas: An industry in decline", Environmental Working Group, https://www.ewg.org/news-insights/news/oil-and-gas-industry-decline</v>
      </c>
      <c r="D9" s="1" t="str">
        <f>IFERROR(__xludf.DUMMYFUNCTION("""COMPUTED_VALUE"""),"Clark Williams-Derry is an energy finance analyst at the Institute for Energy Economics and Financial Analysis. Grant Smith is an energy analyst at the Environmental Working Group")</f>
        <v>Clark Williams-Derry is an energy finance analyst at the Institute for Energy Economics and Financial Analysis. Grant Smith is an energy analyst at the Environmental Working Group</v>
      </c>
      <c r="E9" s="1" t="str">
        <f>IFERROR(__xludf.DUMMYFUNCTION("""COMPUTED_VALUE"""),"AFFIRMATIVE")</f>
        <v>AFFIRMATIVE</v>
      </c>
      <c r="F9" s="1" t="str">
        <f>IFERROR(__xludf.DUMMYFUNCTION("""COMPUTED_VALUE"""),"Carbon Bubble DA")</f>
        <v>Carbon Bubble DA</v>
      </c>
      <c r="G9" s="1" t="str">
        <f>IFERROR(__xludf.DUMMYFUNCTION("""COMPUTED_VALUE"""),"UQ takeout- Oil and gas are already unsustainable and have not shocked the market, no longer profitable and investors are already moving away, plan does not create econ shock")</f>
        <v>UQ takeout- Oil and gas are already unsustainable and have not shocked the market, no longer profitable and investors are already moving away, plan does not create econ shock</v>
      </c>
      <c r="H9" s="1"/>
      <c r="I9" s="1" t="str">
        <f>IFERROR(__xludf.DUMMYFUNCTION("""COMPUTED_VALUE"""),"Talamantes WSU")</f>
        <v>Talamantes WSU</v>
      </c>
      <c r="J9" s="1" t="str">
        <f>IFERROR(__xludf.DUMMYFUNCTION("""COMPUTED_VALUE"""),"1 (due   )")</f>
        <v>1 (due   )</v>
      </c>
      <c r="K9" s="5" t="str">
        <f>IFERROR(__xludf.DUMMYFUNCTION("""COMPUTED_VALUE"""),"https://drive.google.com/open?id=1jTYUSTQWkF-czCEtlVNQ8IJUCn3Xe2sD")</f>
        <v>https://drive.google.com/open?id=1jTYUSTQWkF-czCEtlVNQ8IJUCn3Xe2sD</v>
      </c>
      <c r="L9" s="3" t="s">
        <v>2</v>
      </c>
    </row>
    <row r="10">
      <c r="A10" s="4">
        <f>IFERROR(__xludf.DUMMYFUNCTION("""COMPUTED_VALUE"""),45529.6952250926)</f>
        <v>45529.69523</v>
      </c>
      <c r="B10" s="1" t="str">
        <f>IFERROR(__xludf.DUMMYFUNCTION("""COMPUTED_VALUE"""),"riley.rosalie@gmail.com")</f>
        <v>riley.rosalie@gmail.com</v>
      </c>
      <c r="C10" s="1" t="str">
        <f>IFERROR(__xludf.DUMMYFUNCTION("""COMPUTED_VALUE"""),"Blanford, G. (January 2021). “How does a carbon price impact electricity prices?”, EPRI, https://eea.epri.com/pdf/Back-Pocket-Insights/P201_Back_Pocket_Insights_Electricity_Carbon_Prices_Final.pdf")</f>
        <v>Blanford, G. (January 2021). “How does a carbon price impact electricity prices?”, EPRI, https://eea.epri.com/pdf/Back-Pocket-Insights/P201_Back_Pocket_Insights_Electricity_Carbon_Prices_Final.pdf</v>
      </c>
      <c r="D10" s="1" t="str">
        <f>IFERROR(__xludf.DUMMYFUNCTION("""COMPUTED_VALUE"""),"Geoffrey Blanford is a leading expert on integrated assessment and energy economy modeling, principal technical executive at the Electric Power Research Institute")</f>
        <v>Geoffrey Blanford is a leading expert on integrated assessment and energy economy modeling, principal technical executive at the Electric Power Research Institute</v>
      </c>
      <c r="E10" s="1" t="str">
        <f>IFERROR(__xludf.DUMMYFUNCTION("""COMPUTED_VALUE"""),"AFFIRMATIVE")</f>
        <v>AFFIRMATIVE</v>
      </c>
      <c r="F10" s="1" t="str">
        <f>IFERROR(__xludf.DUMMYFUNCTION("""COMPUTED_VALUE"""),"Carbon Bubble DA")</f>
        <v>Carbon Bubble DA</v>
      </c>
      <c r="G10" s="1" t="str">
        <f>IFERROR(__xludf.DUMMYFUNCTION("""COMPUTED_VALUE"""),"Carbon pricing solves collapse of the fossil fuel industry because investors will move towards CP technology due to financial incentive, offense for the carbon bubble DA")</f>
        <v>Carbon pricing solves collapse of the fossil fuel industry because investors will move towards CP technology due to financial incentive, offense for the carbon bubble DA</v>
      </c>
      <c r="H10" s="1"/>
      <c r="I10" s="1" t="str">
        <f>IFERROR(__xludf.DUMMYFUNCTION("""COMPUTED_VALUE"""),"Talamantes WSU")</f>
        <v>Talamantes WSU</v>
      </c>
      <c r="J10" s="1" t="str">
        <f>IFERROR(__xludf.DUMMYFUNCTION("""COMPUTED_VALUE"""),"1 (due   )")</f>
        <v>1 (due   )</v>
      </c>
      <c r="K10" s="5" t="str">
        <f>IFERROR(__xludf.DUMMYFUNCTION("""COMPUTED_VALUE"""),"https://drive.google.com/open?id=1LtVb5StQBOZSj6eTAHvauqsoRLqbTSML")</f>
        <v>https://drive.google.com/open?id=1LtVb5StQBOZSj6eTAHvauqsoRLqbTSML</v>
      </c>
      <c r="L10" s="3" t="s">
        <v>1</v>
      </c>
    </row>
    <row r="11">
      <c r="A11" s="4">
        <f>IFERROR(__xludf.DUMMYFUNCTION("""COMPUTED_VALUE"""),45529.70285091436)</f>
        <v>45529.70285</v>
      </c>
      <c r="B11" s="1" t="str">
        <f>IFERROR(__xludf.DUMMYFUNCTION("""COMPUTED_VALUE"""),"riley.rosalie@gmail.com")</f>
        <v>riley.rosalie@gmail.com</v>
      </c>
      <c r="C11" s="1" t="str">
        <f>IFERROR(__xludf.DUMMYFUNCTION("""COMPUTED_VALUE"""),"Ranson, D. (9 October 2020). “Resilient US Economy Has Overcome the COVID-19 Recession”, Independent Institute,  https://www.independent.org/news/article.asp?id=13290")</f>
        <v>Ranson, D. (9 October 2020). “Resilient US Economy Has Overcome the COVID-19 Recession”, Independent Institute,  https://www.independent.org/news/article.asp?id=13290</v>
      </c>
      <c r="D11" s="1" t="str">
        <f>IFERROR(__xludf.DUMMYFUNCTION("""COMPUTED_VALUE"""),"David Ranson is a Research Fellow at the Independent Institute and the President and Director of Research at HCWE Inc")</f>
        <v>David Ranson is a Research Fellow at the Independent Institute and the President and Director of Research at HCWE Inc</v>
      </c>
      <c r="E11" s="1" t="str">
        <f>IFERROR(__xludf.DUMMYFUNCTION("""COMPUTED_VALUE"""),"AFFIRMATIVE")</f>
        <v>AFFIRMATIVE</v>
      </c>
      <c r="F11" s="1" t="str">
        <f>IFERROR(__xludf.DUMMYFUNCTION("""COMPUTED_VALUE"""),"Carbon Bubble DA")</f>
        <v>Carbon Bubble DA</v>
      </c>
      <c r="G11" s="1" t="str">
        <f>IFERROR(__xludf.DUMMYFUNCTION("""COMPUTED_VALUE"""),"COVID-19 recession proves that the U.S. economy is resilient to massive shifts in the financial sector, resilient to shocks, impact defense to carbon bubble")</f>
        <v>COVID-19 recession proves that the U.S. economy is resilient to massive shifts in the financial sector, resilient to shocks, impact defense to carbon bubble</v>
      </c>
      <c r="H11" s="1"/>
      <c r="I11" s="1" t="str">
        <f>IFERROR(__xludf.DUMMYFUNCTION("""COMPUTED_VALUE"""),"Talamantes WSU")</f>
        <v>Talamantes WSU</v>
      </c>
      <c r="J11" s="1" t="str">
        <f>IFERROR(__xludf.DUMMYFUNCTION("""COMPUTED_VALUE"""),"1 (due   )")</f>
        <v>1 (due   )</v>
      </c>
      <c r="K11" s="5" t="str">
        <f>IFERROR(__xludf.DUMMYFUNCTION("""COMPUTED_VALUE"""),"https://drive.google.com/open?id=1j3iyl9guz2R9CNwA4gMfUKSgGNG22n2E")</f>
        <v>https://drive.google.com/open?id=1j3iyl9guz2R9CNwA4gMfUKSgGNG22n2E</v>
      </c>
      <c r="L11" s="3" t="s">
        <v>2</v>
      </c>
    </row>
    <row r="12">
      <c r="A12" s="4">
        <f>IFERROR(__xludf.DUMMYFUNCTION("""COMPUTED_VALUE"""),45529.70572627315)</f>
        <v>45529.70573</v>
      </c>
      <c r="B12" s="1" t="str">
        <f>IFERROR(__xludf.DUMMYFUNCTION("""COMPUTED_VALUE"""),"riley.rosalie@gmail.com")</f>
        <v>riley.rosalie@gmail.com</v>
      </c>
      <c r="C12" s="1" t="str">
        <f>IFERROR(__xludf.DUMMYFUNCTION("""COMPUTED_VALUE"""),"Walt, S. (13 May 2020). a Global Depression Trigger Another World War?”, Foreign Policy, https://foreignpolicy.com/2020/05/13/coronavirus-pandemic-depression-economy-world-war/")</f>
        <v>Walt, S. (13 May 2020). a Global Depression Trigger Another World War?”, Foreign Policy, https://foreignpolicy.com/2020/05/13/coronavirus-pandemic-depression-economy-world-war/</v>
      </c>
      <c r="D12" s="1" t="str">
        <f>IFERROR(__xludf.DUMMYFUNCTION("""COMPUTED_VALUE"""),"a columnist at Foreign Policy and the Robert and Renée Belfer professor of international relations at Harvard University.")</f>
        <v>a columnist at Foreign Policy and the Robert and Renée Belfer professor of international relations at Harvard University.</v>
      </c>
      <c r="E12" s="1" t="str">
        <f>IFERROR(__xludf.DUMMYFUNCTION("""COMPUTED_VALUE"""),"AFFIRMATIVE")</f>
        <v>AFFIRMATIVE</v>
      </c>
      <c r="F12" s="1" t="str">
        <f>IFERROR(__xludf.DUMMYFUNCTION("""COMPUTED_VALUE"""),"Carbon Bubble DA")</f>
        <v>Carbon Bubble DA</v>
      </c>
      <c r="G12" s="1" t="str">
        <f>IFERROR(__xludf.DUMMYFUNCTION("""COMPUTED_VALUE"""),"no correlation to war and economic decline, provides historical examples, no economic gain from war for the country's gdp, impact defense to Carbon bubble ")</f>
        <v>no correlation to war and economic decline, provides historical examples, no economic gain from war for the country's gdp, impact defense to Carbon bubble </v>
      </c>
      <c r="H12" s="1"/>
      <c r="I12" s="1" t="str">
        <f>IFERROR(__xludf.DUMMYFUNCTION("""COMPUTED_VALUE"""),"Talamantes WSU")</f>
        <v>Talamantes WSU</v>
      </c>
      <c r="J12" s="1" t="str">
        <f>IFERROR(__xludf.DUMMYFUNCTION("""COMPUTED_VALUE"""),"1 (due   )")</f>
        <v>1 (due   )</v>
      </c>
      <c r="K12" s="5" t="str">
        <f>IFERROR(__xludf.DUMMYFUNCTION("""COMPUTED_VALUE"""),"https://drive.google.com/open?id=1kKQvejM0dobUL4RUTyUdA_kRa6XR3dsk")</f>
        <v>https://drive.google.com/open?id=1kKQvejM0dobUL4RUTyUdA_kRa6XR3dsk</v>
      </c>
      <c r="L12" s="3" t="s">
        <v>1</v>
      </c>
    </row>
    <row r="13">
      <c r="A13" s="4">
        <f>IFERROR(__xludf.DUMMYFUNCTION("""COMPUTED_VALUE"""),45529.69210207176)</f>
        <v>45529.6921</v>
      </c>
      <c r="B13" s="1" t="str">
        <f>IFERROR(__xludf.DUMMYFUNCTION("""COMPUTED_VALUE"""),"riley.rosalie@gmail.com")</f>
        <v>riley.rosalie@gmail.com</v>
      </c>
      <c r="C13" s="1" t="str">
        <f>IFERROR(__xludf.DUMMYFUNCTION("""COMPUTED_VALUE"""),"Gould, T. (25 October 2018). ""Economic diversification for oil and gas exporters doesn’t mean leaving energy behind – Analysis"", IEA, https://www.iea.org/commentaries/economic-diversification-for-oil-and-gas-exporters-doesnt-mean-leaving-energy-behind")</f>
        <v>Gould, T. (25 October 2018). "Economic diversification for oil and gas exporters doesn’t mean leaving energy behind – Analysis", IEA, https://www.iea.org/commentaries/economic-diversification-for-oil-and-gas-exporters-doesnt-mean-leaving-energy-behind</v>
      </c>
      <c r="D13" s="1" t="str">
        <f>IFERROR(__xludf.DUMMYFUNCTION("""COMPUTED_VALUE"""),"Chief energy economist at the International Energy Agency, worked in energy policy for 15+ years, specializing in European energy policy research")</f>
        <v>Chief energy economist at the International Energy Agency, worked in energy policy for 15+ years, specializing in European energy policy research</v>
      </c>
      <c r="E13" s="1" t="str">
        <f>IFERROR(__xludf.DUMMYFUNCTION("""COMPUTED_VALUE"""),"AFFIRMATIVE")</f>
        <v>AFFIRMATIVE</v>
      </c>
      <c r="F13" s="1" t="str">
        <f>IFERROR(__xludf.DUMMYFUNCTION("""COMPUTED_VALUE"""),"Carbon Bubble DA ")</f>
        <v>Carbon Bubble DA </v>
      </c>
      <c r="G13" s="1" t="str">
        <f>IFERROR(__xludf.DUMMYFUNCTION("""COMPUTED_VALUE"""),"Link turn- transition to clean energy makes oil and gas companies more sustainable because they can slowly be phased out, assets will not be completely stranded and still of use, other countries prove")</f>
        <v>Link turn- transition to clean energy makes oil and gas companies more sustainable because they can slowly be phased out, assets will not be completely stranded and still of use, other countries prove</v>
      </c>
      <c r="H13" s="1"/>
      <c r="I13" s="1" t="str">
        <f>IFERROR(__xludf.DUMMYFUNCTION("""COMPUTED_VALUE"""),"Talamantes WSU")</f>
        <v>Talamantes WSU</v>
      </c>
      <c r="J13" s="1" t="str">
        <f>IFERROR(__xludf.DUMMYFUNCTION("""COMPUTED_VALUE"""),"1 (due   )")</f>
        <v>1 (due   )</v>
      </c>
      <c r="K13" s="5" t="str">
        <f>IFERROR(__xludf.DUMMYFUNCTION("""COMPUTED_VALUE"""),"https://drive.google.com/open?id=1JuTMHwM4c1KBDKEIoo3iChroTHRy-P3a")</f>
        <v>https://drive.google.com/open?id=1JuTMHwM4c1KBDKEIoo3iChroTHRy-P3a</v>
      </c>
      <c r="L13" s="3" t="s">
        <v>1</v>
      </c>
    </row>
    <row r="14">
      <c r="A14" s="4">
        <f>IFERROR(__xludf.DUMMYFUNCTION("""COMPUTED_VALUE"""),45529.67414693287)</f>
        <v>45529.67415</v>
      </c>
      <c r="B14" s="1" t="str">
        <f>IFERROR(__xludf.DUMMYFUNCTION("""COMPUTED_VALUE"""),"riley.rosalie@gmail.com")</f>
        <v>riley.rosalie@gmail.com</v>
      </c>
      <c r="C14" s="1" t="str">
        <f>IFERROR(__xludf.DUMMYFUNCTION("""COMPUTED_VALUE"""),"Lawson, A.J. &amp; Vann, A. (4 December 2023). “Electricity Transmission: What Is the Role of the Federal Government?,” Congressional Research Service, https://crsreports.congress.gov/product/pdf/R/R47862")</f>
        <v>Lawson, A.J. &amp; Vann, A. (4 December 2023). “Electricity Transmission: What Is the Role of the Federal Government?,” Congressional Research Service, https://crsreports.congress.gov/product/pdf/R/R47862</v>
      </c>
      <c r="D14" s="1" t="str">
        <f>IFERROR(__xludf.DUMMYFUNCTION("""COMPUTED_VALUE"""),"Ashley Lawson is a specialist in Energy Policy from the Congressional Research Service. Adam Vann is a legislative attorney at the Congressional Research Service")</f>
        <v>Ashley Lawson is a specialist in Energy Policy from the Congressional Research Service. Adam Vann is a legislative attorney at the Congressional Research Service</v>
      </c>
      <c r="E14" s="1" t="str">
        <f>IFERROR(__xludf.DUMMYFUNCTION("""COMPUTED_VALUE"""),"MIXED")</f>
        <v>MIXED</v>
      </c>
      <c r="F14" s="1" t="str">
        <f>IFERROR(__xludf.DUMMYFUNCTION("""COMPUTED_VALUE"""),"Carbon Bubble DA, Current standing of US Transmission Policy")</f>
        <v>Carbon Bubble DA, Current standing of US Transmission Policy</v>
      </c>
      <c r="G14" s="1" t="str">
        <f>IFERROR(__xludf.DUMMYFUNCTION("""COMPUTED_VALUE"""),"Overview of current authority/policy shifts for transmission, has not been a significant change since 2005, goes over IIJA expanding FERC's authority and how FERC has to act to pull the plan off")</f>
        <v>Overview of current authority/policy shifts for transmission, has not been a significant change since 2005, goes over IIJA expanding FERC's authority and how FERC has to act to pull the plan off</v>
      </c>
      <c r="H14" s="1"/>
      <c r="I14" s="1" t="str">
        <f>IFERROR(__xludf.DUMMYFUNCTION("""COMPUTED_VALUE"""),"Talamantes WSU")</f>
        <v>Talamantes WSU</v>
      </c>
      <c r="J14" s="1" t="str">
        <f>IFERROR(__xludf.DUMMYFUNCTION("""COMPUTED_VALUE"""),"1 (due   )")</f>
        <v>1 (due   )</v>
      </c>
      <c r="K14" s="5" t="str">
        <f>IFERROR(__xludf.DUMMYFUNCTION("""COMPUTED_VALUE"""),"https://drive.google.com/open?id=1PtQcPK1UohSAMMbPtqWiiXskrZcrtHJd")</f>
        <v>https://drive.google.com/open?id=1PtQcPK1UohSAMMbPtqWiiXskrZcrtHJd</v>
      </c>
      <c r="L14" s="3" t="s">
        <v>2</v>
      </c>
    </row>
    <row r="15">
      <c r="A15" s="4">
        <f>IFERROR(__xludf.DUMMYFUNCTION("""COMPUTED_VALUE"""),45525.520451261575)</f>
        <v>45525.52045</v>
      </c>
      <c r="B15" s="1" t="str">
        <f>IFERROR(__xludf.DUMMYFUNCTION("""COMPUTED_VALUE"""),"angelocthechef@gmail.com")</f>
        <v>angelocthechef@gmail.com</v>
      </c>
      <c r="C15" s="1" t="str">
        <f>IFERROR(__xludf.DUMMYFUNCTION("""COMPUTED_VALUE"""),"Blaine et al. (2021). Can the World Go Green Without Destabilizing Oil-Pumping Nations? United States Institute of Peace, ")</f>
        <v>Blaine et al. (2021). Can the World Go Green Without Destabilizing Oil-Pumping Nations? United States Institute of Peace, </v>
      </c>
      <c r="D15" s="1" t="str">
        <f>IFERROR(__xludf.DUMMYFUNCTION("""COMPUTED_VALUE"""),"Dr. Tegan Blaine is the director of climate, environment &amp; conflict at the U.S. Institute of Peace.    Prior to joining USIP in 2020, she served as vice president on a climate change initiative at the National Geographic Society. She also led the climate "&amp;"change team in USAID’s Bureau for Africa for over a decade, where she developed USAID’s strategy and investment plan for its climate change work in Africa, and built and led a team that provided thought leadership and technical support to USAID’s Africa m"&amp;"issions.  Before USAID, Dr. Blaine worked on climate change and international development at McKinsey &amp; Company; served as a policy advisor on water at the U.S. Department of State; and taught math and physics as a Peace Corps volunteer in Tanzania.  Dr. "&amp;"Blaine has a doctorate in oceanography and climate from the Scripps Institution of Oceanography and bachelor’s degrees in comparative literature and mathematical ecology from Brown University. She has taught about climate change and international developm"&amp;"ent at George Washington University’s Elliott School of International Affairs and at Johns Hopkins University’s School of Advanced International Studies.")</f>
        <v>Dr. Tegan Blaine is the director of climate, environment &amp; conflict at the U.S. Institute of Peace.    Prior to joining USIP in 2020, she served as vice president on a climate change initiative at the National Geographic Society. She also led the climate change team in USAID’s Bureau for Africa for over a decade, where she developed USAID’s strategy and investment plan for its climate change work in Africa, and built and led a team that provided thought leadership and technical support to USAID’s Africa missions.  Before USAID, Dr. Blaine worked on climate change and international development at McKinsey &amp; Company; served as a policy advisor on water at the U.S. Department of State; and taught math and physics as a Peace Corps volunteer in Tanzania.  Dr. Blaine has a doctorate in oceanography and climate from the Scripps Institution of Oceanography and bachelor’s degrees in comparative literature and mathematical ecology from Brown University. She has taught about climate change and international development at George Washington University’s Elliott School of International Affairs and at Johns Hopkins University’s School of Advanced International Studies.</v>
      </c>
      <c r="E15" s="1" t="str">
        <f>IFERROR(__xludf.DUMMYFUNCTION("""COMPUTED_VALUE"""),"NEGATIVE")</f>
        <v>NEGATIVE</v>
      </c>
      <c r="F15" s="1" t="str">
        <f>IFERROR(__xludf.DUMMYFUNCTION("""COMPUTED_VALUE"""),"Carbon Tax")</f>
        <v>Carbon Tax</v>
      </c>
      <c r="G15" s="1" t="str">
        <f>IFERROR(__xludf.DUMMYFUNCTION("""COMPUTED_VALUE"""),"A shock to the oil economy could create economic shocks across the world, sending numerous countries into collapse, leading to violence and war.")</f>
        <v>A shock to the oil economy could create economic shocks across the world, sending numerous countries into collapse, leading to violence and war.</v>
      </c>
      <c r="H15" s="1" t="str">
        <f>IFERROR(__xludf.DUMMYFUNCTION("""COMPUTED_VALUE"""),"Amid the dizzying acceleration of headlines and debate about the vital global transition to renewable energy, new research shows how that change could destabilize dozens of fragile states that depend heavily on oil exports. The new study underscores that "&amp;"governments and international institutions will need to guard against risks that the shift away from carbon-heavy fuels will inadvertently upset political balances and potentially ignite violent conflicts in a swath of nations from Venezuela to Nigeria to"&amp;" Iraq and beyond. Above all, the research suggests, the world must avoid an unplanned “traumatic decarbonization” of these economies.")</f>
        <v>Amid the dizzying acceleration of headlines and debate about the vital global transition to renewable energy, new research shows how that change could destabilize dozens of fragile states that depend heavily on oil exports. The new study underscores that governments and international institutions will need to guard against risks that the shift away from carbon-heavy fuels will inadvertently upset political balances and potentially ignite violent conflicts in a swath of nations from Venezuela to Nigeria to Iraq and beyond. Above all, the research suggests, the world must avoid an unplanned “traumatic decarbonization” of these economies.</v>
      </c>
      <c r="I15" s="1" t="str">
        <f>IFERROR(__xludf.DUMMYFUNCTION("""COMPUTED_VALUE"""),"Celletti GU")</f>
        <v>Celletti GU</v>
      </c>
      <c r="J15" s="1" t="str">
        <f>IFERROR(__xludf.DUMMYFUNCTION("""COMPUTED_VALUE"""),"1 (due   )")</f>
        <v>1 (due   )</v>
      </c>
      <c r="K15" s="5" t="str">
        <f>IFERROR(__xludf.DUMMYFUNCTION("""COMPUTED_VALUE"""),"https://drive.google.com/open?id=1v1xpDyi10vWhNcCRgeLcxFk7l_OlFkLV")</f>
        <v>https://drive.google.com/open?id=1v1xpDyi10vWhNcCRgeLcxFk7l_OlFkLV</v>
      </c>
      <c r="L15" s="3" t="s">
        <v>2</v>
      </c>
    </row>
    <row r="16">
      <c r="A16" s="4">
        <f>IFERROR(__xludf.DUMMYFUNCTION("""COMPUTED_VALUE"""),45530.706614236115)</f>
        <v>45530.70661</v>
      </c>
      <c r="B16" s="1" t="str">
        <f>IFERROR(__xludf.DUMMYFUNCTION("""COMPUTED_VALUE"""),"abbigailhalpin280@gmail.com")</f>
        <v>abbigailhalpin280@gmail.com</v>
      </c>
      <c r="C16" s="1" t="str">
        <f>IFERROR(__xludf.DUMMYFUNCTION("""COMPUTED_VALUE"""),"Fremstad, A. and Paul, M. (2019). The Impact of a Carbon Tax on Inequality. Science Direct, 88-97")</f>
        <v>Fremstad, A. and Paul, M. (2019). The Impact of a Carbon Tax on Inequality. Science Direct, 88-97</v>
      </c>
      <c r="D16" s="1" t="str">
        <f>IFERROR(__xludf.DUMMYFUNCTION("""COMPUTED_VALUE"""),"Fremstad: associate professor in the Economics Department at Colorado State University, teaching courses in microeconomics, environmental economics, and political economy.   Paul: Division of Social Sciences, New College of Florida ")</f>
        <v>Fremstad: associate professor in the Economics Department at Colorado State University, teaching courses in microeconomics, environmental economics, and political economy.   Paul: Division of Social Sciences, New College of Florida </v>
      </c>
      <c r="E16" s="1" t="str">
        <f>IFERROR(__xludf.DUMMYFUNCTION("""COMPUTED_VALUE"""),"MIXED")</f>
        <v>MIXED</v>
      </c>
      <c r="F16" s="1" t="str">
        <f>IFERROR(__xludf.DUMMYFUNCTION("""COMPUTED_VALUE"""),"Carbon Tax")</f>
        <v>Carbon Tax</v>
      </c>
      <c r="G16" s="1" t="str">
        <f>IFERROR(__xludf.DUMMYFUNCTION("""COMPUTED_VALUE"""),"Carbon tax can hurt low income households and make inequality worse in the United States. Argues for carbon tax revenue used to minimizing this.")</f>
        <v>Carbon tax can hurt low income households and make inequality worse in the United States. Argues for carbon tax revenue used to minimizing this.</v>
      </c>
      <c r="H16" s="1" t="str">
        <f>IFERROR(__xludf.DUMMYFUNCTION("""COMPUTED_VALUE"""),"Climate change and economic inequality are inextricably linked. Despite widespread agreement among researchers and policymakers that a carbon tax is the most efficient mechanism to curb greenhouse gas emissions, such a tax exacerbates inequality since low"&amp;"-income households spend a greater share of their income on carbon-intensive goods. Using Input-Output tables and detailed expenditure data for the United States, we estimate households' carbon footprints and examine the impact of a revenue-neutral tax of"&amp;" $50 per ton of CO2 on multiple forms of inequality. Devoting carbon tax revenue to fund a carbon dividend makes the policy progressive, minimizes redistribution among households of similar means, mitigates group-based inequalities, and benefits 56% of pe"&amp;"ople, including 84% in the bottom half of the distribution. While some researchers have dismissed dividends on efficiency grounds, we show that the double dividend typically associated with labor tax cuts is insufficient to protect the purchasing power of"&amp;" a majority of Americans.")</f>
        <v>Climate change and economic inequality are inextricably linked. Despite widespread agreement among researchers and policymakers that a carbon tax is the most efficient mechanism to curb greenhouse gas emissions, such a tax exacerbates inequality since low-income households spend a greater share of their income on carbon-intensive goods. Using Input-Output tables and detailed expenditure data for the United States, we estimate households' carbon footprints and examine the impact of a revenue-neutral tax of $50 per ton of CO2 on multiple forms of inequality. Devoting carbon tax revenue to fund a carbon dividend makes the policy progressive, minimizes redistribution among households of similar means, mitigates group-based inequalities, and benefits 56% of people, including 84% in the bottom half of the distribution. While some researchers have dismissed dividends on efficiency grounds, we show that the double dividend typically associated with labor tax cuts is insufficient to protect the purchasing power of a majority of Americans.</v>
      </c>
      <c r="I16" s="1" t="str">
        <f>IFERROR(__xludf.DUMMYFUNCTION("""COMPUTED_VALUE"""),"Halpin WWU")</f>
        <v>Halpin WWU</v>
      </c>
      <c r="J16" s="1" t="str">
        <f>IFERROR(__xludf.DUMMYFUNCTION("""COMPUTED_VALUE"""),"1 (due   )")</f>
        <v>1 (due   )</v>
      </c>
      <c r="K16" s="5" t="str">
        <f>IFERROR(__xludf.DUMMYFUNCTION("""COMPUTED_VALUE"""),"https://drive.google.com/open?id=1PASnQjZgnCxCms9D3JeztyUc3qMEsSP1")</f>
        <v>https://drive.google.com/open?id=1PASnQjZgnCxCms9D3JeztyUc3qMEsSP1</v>
      </c>
      <c r="L16" s="3" t="s">
        <v>1</v>
      </c>
    </row>
    <row r="17">
      <c r="A17" s="4">
        <f>IFERROR(__xludf.DUMMYFUNCTION("""COMPUTED_VALUE"""),45530.74500763889)</f>
        <v>45530.74501</v>
      </c>
      <c r="B17" s="1" t="str">
        <f>IFERROR(__xludf.DUMMYFUNCTION("""COMPUTED_VALUE"""),"alexmooney256@gmail.com")</f>
        <v>alexmooney256@gmail.com</v>
      </c>
      <c r="C17" s="1" t="str">
        <f>IFERROR(__xludf.DUMMYFUNCTION("""COMPUTED_VALUE"""),"Kallis, G. (2015). The Degrowth Alternative. Great Transition Initiative.")</f>
        <v>Kallis, G. (2015). The Degrowth Alternative. Great Transition Initiative.</v>
      </c>
      <c r="D17" s="1" t="str">
        <f>IFERROR(__xludf.DUMMYFUNCTION("""COMPUTED_VALUE"""),"Kallis is an ecological economist and political ecologist, and a professor at ICTA, Barcelona. Previously a Marie Curie Fellow at the Energy and Resources Group of UC Berkeley, Giorgos holds also a Ph.D. in Environmental Policy from the University of the "&amp;"Aegean, a Masters in Economics from Universitat Pompeu Fabra, and a Masters in Environmental Engineering and a Bachelors in Chemistry from Imperial College, London.")</f>
        <v>Kallis is an ecological economist and political ecologist, and a professor at ICTA, Barcelona. Previously a Marie Curie Fellow at the Energy and Resources Group of UC Berkeley, Giorgos holds also a Ph.D. in Environmental Policy from the University of the Aegean, a Masters in Economics from Universitat Pompeu Fabra, and a Masters in Environmental Engineering and a Bachelors in Chemistry from Imperial College, London.</v>
      </c>
      <c r="E17" s="1" t="str">
        <f>IFERROR(__xludf.DUMMYFUNCTION("""COMPUTED_VALUE"""),"MIXED")</f>
        <v>MIXED</v>
      </c>
      <c r="F17" s="1" t="str">
        <f>IFERROR(__xludf.DUMMYFUNCTION("""COMPUTED_VALUE"""),"Degrowth and K")</f>
        <v>Degrowth and K</v>
      </c>
      <c r="G17" s="1" t="str">
        <f>IFERROR(__xludf.DUMMYFUNCTION("""COMPUTED_VALUE"""),"Summarizes degrowth as an alternative to capitalism and green growth")</f>
        <v>Summarizes degrowth as an alternative to capitalism and green growth</v>
      </c>
      <c r="H17" s="1" t="str">
        <f>IFERROR(__xludf.DUMMYFUNCTION("""COMPUTED_VALUE"""),"Both the name and the theory of degrowth aim explicitly to repoliticize environmentalism. Sustainable development and its more recent reincarnation “green growth” depoliticize genuine political antagonisms between alternative visions for the future. They "&amp;"render environmental problems technical, promising win-win solutions and the impossible goal of perpetuating economic growth without harming the environment. Ecologizing society, degrowthers argue, is not about implementing an alternative, better, or gree"&amp;"ner development. It is about imagining and enacting alternative visions to modern growth-based development. This essay explores such alternatives and identifies grassroots practices and political changes for facilitating a transition to a prosperous and e"&amp;"quitable world without growth.")</f>
        <v>Both the name and the theory of degrowth aim explicitly to repoliticize environmentalism. Sustainable development and its more recent reincarnation “green growth” depoliticize genuine political antagonisms between alternative visions for the future. They render environmental problems technical, promising win-win solutions and the impossible goal of perpetuating economic growth without harming the environment. Ecologizing society, degrowthers argue, is not about implementing an alternative, better, or greener development. It is about imagining and enacting alternative visions to modern growth-based development. This essay explores such alternatives and identifies grassroots practices and political changes for facilitating a transition to a prosperous and equitable world without growth.</v>
      </c>
      <c r="I17" s="1" t="str">
        <f>IFERROR(__xludf.DUMMYFUNCTION("""COMPUTED_VALUE"""),"Mooney Hillsdale")</f>
        <v>Mooney Hillsdale</v>
      </c>
      <c r="J17" s="1" t="str">
        <f>IFERROR(__xludf.DUMMYFUNCTION("""COMPUTED_VALUE"""),"1 (due   )")</f>
        <v>1 (due   )</v>
      </c>
      <c r="K17" s="5" t="str">
        <f>IFERROR(__xludf.DUMMYFUNCTION("""COMPUTED_VALUE"""),"https://drive.google.com/open?id=1nUfjNx_1CY2XM4tTGae6lSN5TclEhIBn")</f>
        <v>https://drive.google.com/open?id=1nUfjNx_1CY2XM4tTGae6lSN5TclEhIBn</v>
      </c>
      <c r="L17" s="3" t="s">
        <v>1</v>
      </c>
    </row>
    <row r="18">
      <c r="A18" s="4">
        <f>IFERROR(__xludf.DUMMYFUNCTION("""COMPUTED_VALUE"""),45530.753173391204)</f>
        <v>45530.75317</v>
      </c>
      <c r="B18" s="1" t="str">
        <f>IFERROR(__xludf.DUMMYFUNCTION("""COMPUTED_VALUE"""),"alexmooney256@gmail.com")</f>
        <v>alexmooney256@gmail.com</v>
      </c>
      <c r="C18" s="1" t="str">
        <f>IFERROR(__xludf.DUMMYFUNCTION("""COMPUTED_VALUE"""),"Morgan, J (2020) Degrowth: necessary, urgent and good for you. Real-World Economics Review (93). pp. 113-131.")</f>
        <v>Morgan, J (2020) Degrowth: necessary, urgent and good for you. Real-World Economics Review (93). pp. 113-131.</v>
      </c>
      <c r="D18" s="1" t="str">
        <f>IFERROR(__xludf.DUMMYFUNCTION("""COMPUTED_VALUE"""),"Professor Jamie Morgan researches contemporary problems and their socio-economic context at Leeds Beckett University.")</f>
        <v>Professor Jamie Morgan researches contemporary problems and their socio-economic context at Leeds Beckett University.</v>
      </c>
      <c r="E18" s="1" t="str">
        <f>IFERROR(__xludf.DUMMYFUNCTION("""COMPUTED_VALUE"""),"MIXED")</f>
        <v>MIXED</v>
      </c>
      <c r="F18" s="1" t="str">
        <f>IFERROR(__xludf.DUMMYFUNCTION("""COMPUTED_VALUE"""),"Degrowth and K")</f>
        <v>Degrowth and K</v>
      </c>
      <c r="G18" s="1" t="str">
        <f>IFERROR(__xludf.DUMMYFUNCTION("""COMPUTED_VALUE"""),"Reviews ""The Case for Degrowth,"" gives thorough background for the green growth vs degrowth debate, and includes arguments for degrowth")</f>
        <v>Reviews "The Case for Degrowth," gives thorough background for the green growth vs degrowth debate, and includes arguments for degrowth</v>
      </c>
      <c r="H18" s="1"/>
      <c r="I18" s="1" t="str">
        <f>IFERROR(__xludf.DUMMYFUNCTION("""COMPUTED_VALUE"""),"Mooney Hillsdale")</f>
        <v>Mooney Hillsdale</v>
      </c>
      <c r="J18" s="1" t="str">
        <f>IFERROR(__xludf.DUMMYFUNCTION("""COMPUTED_VALUE"""),"1 (due   )")</f>
        <v>1 (due   )</v>
      </c>
      <c r="K18" s="5" t="str">
        <f>IFERROR(__xludf.DUMMYFUNCTION("""COMPUTED_VALUE"""),"https://drive.google.com/open?id=11H7kgqYeNagjgy1I810tWrOvKg_nOh4O")</f>
        <v>https://drive.google.com/open?id=11H7kgqYeNagjgy1I810tWrOvKg_nOh4O</v>
      </c>
      <c r="L18" s="3" t="s">
        <v>2</v>
      </c>
    </row>
    <row r="19">
      <c r="A19" s="4">
        <f>IFERROR(__xludf.DUMMYFUNCTION("""COMPUTED_VALUE"""),45530.76138309028)</f>
        <v>45530.76138</v>
      </c>
      <c r="B19" s="1" t="str">
        <f>IFERROR(__xludf.DUMMYFUNCTION("""COMPUTED_VALUE"""),"alexmooney256@gmail.com")</f>
        <v>alexmooney256@gmail.com</v>
      </c>
      <c r="C19" s="1" t="str">
        <f>IFERROR(__xludf.DUMMYFUNCTION("""COMPUTED_VALUE"""),"Buchs, M. Koch, M. (2018). Challenges for the degrowth transition: The debate about wellbeing. Futures, Volume 105, 155-165")</f>
        <v>Buchs, M. Koch, M. (2018). Challenges for the degrowth transition: The debate about wellbeing. Futures, Volume 105, 155-165</v>
      </c>
      <c r="D19" s="1" t="str">
        <f>IFERROR(__xludf.DUMMYFUNCTION("""COMPUTED_VALUE"""),"Buchs: Sustainability Research Institute, School of Earth and Environment, University of Leeds. Koch: b Faculty of Social Sciences, Socialhögskolan, Lund University.")</f>
        <v>Buchs: Sustainability Research Institute, School of Earth and Environment, University of Leeds. Koch: b Faculty of Social Sciences, Socialhögskolan, Lund University.</v>
      </c>
      <c r="E19" s="1" t="str">
        <f>IFERROR(__xludf.DUMMYFUNCTION("""COMPUTED_VALUE"""),"MIXED")</f>
        <v>MIXED</v>
      </c>
      <c r="F19" s="1" t="str">
        <f>IFERROR(__xludf.DUMMYFUNCTION("""COMPUTED_VALUE"""),"Degrowth and K")</f>
        <v>Degrowth and K</v>
      </c>
      <c r="G19" s="1" t="str">
        <f>IFERROR(__xludf.DUMMYFUNCTION("""COMPUTED_VALUE"""),"While supportive of degrowth, this article discusses the real difficulties with implementation. It is useful for an implementation debate from the degrowth and green growth perspective")</f>
        <v>While supportive of degrowth, this article discusses the real difficulties with implementation. It is useful for an implementation debate from the degrowth and green growth perspective</v>
      </c>
      <c r="H19" s="1" t="str">
        <f>IFERROR(__xludf.DUMMYFUNCTION("""COMPUTED_VALUE"""),"Degrowth scholars and activists have convincingly argued that degrowth in developed nations will need to be part of a global effort to tackle climate change, and to preserve the conditions for future generations’ basic needs satisfaction. However, the bar"&amp;"riers to building a broader degrowth movement appear to be very entrenched at present. To improve the political feasibility of degrowth it is important to better understand these structural obstacles and develop arguments and strategies to address them. T"&amp;"o contribute to the degrowth debate we focus in this paper on current generations in rich countries and their concerns about possible short- to medium term wellbeing outcomes of degrowth. In particular, we highlight the ‘growth lock-in’ of current societi"&amp;"es and how a transition away from this model might therefore affect wellbeing. We also argue that taking the basic human needs framework as a new ‘measuring rod’ for wellbeing outcomes is suitable for a degrowth context, but likely to clash with people’s "&amp;"current expectations of ever improving health and wellbeing outcomes. We propose that deliberative forums on future needs satisfaction can help establish a ‘dialogue’ between current and future generations which could support cultural shifts on wellbeing "&amp;"thinking which will be much needed for advancing the cause for degrowth.")</f>
        <v>Degrowth scholars and activists have convincingly argued that degrowth in developed nations will need to be part of a global effort to tackle climate change, and to preserve the conditions for future generations’ basic needs satisfaction. However, the barriers to building a broader degrowth movement appear to be very entrenched at present. To improve the political feasibility of degrowth it is important to better understand these structural obstacles and develop arguments and strategies to address them. To contribute to the degrowth debate we focus in this paper on current generations in rich countries and their concerns about possible short- to medium term wellbeing outcomes of degrowth. In particular, we highlight the ‘growth lock-in’ of current societies and how a transition away from this model might therefore affect wellbeing. We also argue that taking the basic human needs framework as a new ‘measuring rod’ for wellbeing outcomes is suitable for a degrowth context, but likely to clash with people’s current expectations of ever improving health and wellbeing outcomes. We propose that deliberative forums on future needs satisfaction can help establish a ‘dialogue’ between current and future generations which could support cultural shifts on wellbeing thinking which will be much needed for advancing the cause for degrowth.</v>
      </c>
      <c r="I19" s="1" t="str">
        <f>IFERROR(__xludf.DUMMYFUNCTION("""COMPUTED_VALUE"""),"Mooney Hillsdale")</f>
        <v>Mooney Hillsdale</v>
      </c>
      <c r="J19" s="1" t="str">
        <f>IFERROR(__xludf.DUMMYFUNCTION("""COMPUTED_VALUE"""),"1 (due   )")</f>
        <v>1 (due   )</v>
      </c>
      <c r="K19" s="5" t="str">
        <f>IFERROR(__xludf.DUMMYFUNCTION("""COMPUTED_VALUE"""),"https://drive.google.com/open?id=1rb7J3M6bx1lOfNBW1Wvnsx9SXDDHReCD")</f>
        <v>https://drive.google.com/open?id=1rb7J3M6bx1lOfNBW1Wvnsx9SXDDHReCD</v>
      </c>
      <c r="L19" s="3" t="s">
        <v>1</v>
      </c>
    </row>
    <row r="20">
      <c r="A20" s="4">
        <f>IFERROR(__xludf.DUMMYFUNCTION("""COMPUTED_VALUE"""),45529.70845542824)</f>
        <v>45529.70846</v>
      </c>
      <c r="B20" s="1" t="str">
        <f>IFERROR(__xludf.DUMMYFUNCTION("""COMPUTED_VALUE"""),"riley.rosalie@gmail.com")</f>
        <v>riley.rosalie@gmail.com</v>
      </c>
      <c r="C20" s="1" t="str">
        <f>IFERROR(__xludf.DUMMYFUNCTION("""COMPUTED_VALUE"""),"EPA. (2023). “Tools of the Trade: A Guide to Designing and Operating a Cap and Trade Program for Pollution Control,” Unity States Environmental Protection Agency Office of Air and Radiation, EPA430-B-03-002, https://www.epa.gov/sites/default/files/2016-03"&amp;"/documents/tools.pdf")</f>
        <v>EPA. (2023). “Tools of the Trade: A Guide to Designing and Operating a Cap and Trade Program for Pollution Control,” Unity States Environmental Protection Agency Office of Air and Radiation, EPA430-B-03-002, https://www.epa.gov/sites/default/files/2016-03/documents/tools.pdf</v>
      </c>
      <c r="D20" s="1" t="str">
        <f>IFERROR(__xludf.DUMMYFUNCTION("""COMPUTED_VALUE"""),"Environmental Protection Agency rundown for designing an effective Cap and Trade Program that goes along with existing govt rules")</f>
        <v>Environmental Protection Agency rundown for designing an effective Cap and Trade Program that goes along with existing govt rules</v>
      </c>
      <c r="E20" s="1" t="str">
        <f>IFERROR(__xludf.DUMMYFUNCTION("""COMPUTED_VALUE"""),"AFFIRMATIVE")</f>
        <v>AFFIRMATIVE</v>
      </c>
      <c r="F20" s="1" t="str">
        <f>IFERROR(__xludf.DUMMYFUNCTION("""COMPUTED_VALUE"""),"Emissions Trading")</f>
        <v>Emissions Trading</v>
      </c>
      <c r="G20" s="1" t="str">
        <f>IFERROR(__xludf.DUMMYFUNCTION("""COMPUTED_VALUE"""),"EPA guidebook on cap and trade programs, provides details on the most effective way to enforce a cap and trade program in the U.S., spurs innovation and early decarbonization w/ flexible approach ")</f>
        <v>EPA guidebook on cap and trade programs, provides details on the most effective way to enforce a cap and trade program in the U.S., spurs innovation and early decarbonization w/ flexible approach </v>
      </c>
      <c r="H20" s="1"/>
      <c r="I20" s="1" t="str">
        <f>IFERROR(__xludf.DUMMYFUNCTION("""COMPUTED_VALUE"""),"Talamantes WSU")</f>
        <v>Talamantes WSU</v>
      </c>
      <c r="J20" s="1" t="str">
        <f>IFERROR(__xludf.DUMMYFUNCTION("""COMPUTED_VALUE"""),"1 (due   )")</f>
        <v>1 (due   )</v>
      </c>
      <c r="K20" s="5" t="str">
        <f>IFERROR(__xludf.DUMMYFUNCTION("""COMPUTED_VALUE"""),"https://drive.google.com/open?id=1OdP-J4SCooLGhxoV7bFRU_1mRo_NcU1X")</f>
        <v>https://drive.google.com/open?id=1OdP-J4SCooLGhxoV7bFRU_1mRo_NcU1X</v>
      </c>
      <c r="L20" s="3" t="s">
        <v>2</v>
      </c>
    </row>
    <row r="21">
      <c r="A21" s="4">
        <f>IFERROR(__xludf.DUMMYFUNCTION("""COMPUTED_VALUE"""),45529.71224469907)</f>
        <v>45529.71224</v>
      </c>
      <c r="B21" s="1" t="str">
        <f>IFERROR(__xludf.DUMMYFUNCTION("""COMPUTED_VALUE"""),"riley.rosalie@gmail.com")</f>
        <v>riley.rosalie@gmail.com</v>
      </c>
      <c r="C21" s="1" t="str">
        <f>IFERROR(__xludf.DUMMYFUNCTION("""COMPUTED_VALUE"""),"ICUN (2024). “CLIMATE CHANGE AND BIODIVERSITY POLICY AND PRACTICE THEMATIC GROUP Climate Mitigation and Biodiversity conservation: A review of progress and key issues in global carbon markets and potential impacts on ecosystems,” https://www.researchgate."&amp;"net/publication/383116671_CLIMATE_CHANGE_AND_BIODIVERSITY_POLICY_AND_PRACTICE_THEMATIC_GROUP_Climate_mitigation_and_biodiversity_conservation_A_review_of_progress_and_key_issues_in_global_carbon_markets_and_potential_impacts_o")</f>
        <v>ICUN (2024). “CLIMATE CHANGE AND BIODIVERSITY POLICY AND PRACTICE THEMATIC GROUP Climate Mitigation and Biodiversity conservation: A review of progress and key issues in global carbon markets and potential impacts on ecosystems,” https://www.researchgate.net/publication/383116671_CLIMATE_CHANGE_AND_BIODIVERSITY_POLICY_AND_PRACTICE_THEMATIC_GROUP_Climate_mitigation_and_biodiversity_conservation_A_review_of_progress_and_key_issues_in_global_carbon_markets_and_potential_impacts_o</v>
      </c>
      <c r="D21" s="1" t="str">
        <f>IFERROR(__xludf.DUMMYFUNCTION("""COMPUTED_VALUE"""),"[IUCN Is a membership union composed of Government and Civil Society organizations which provies public, private and non-governmental organizations with knowledge and tools for human progress, economic development and natural conservation to take place to"&amp;"gether, IUCN is the worlds largest and most diverse environmental network")</f>
        <v>[IUCN Is a membership union composed of Government and Civil Society organizations which provies public, private and non-governmental organizations with knowledge and tools for human progress, economic development and natural conservation to take place together, IUCN is the worlds largest and most diverse environmental network</v>
      </c>
      <c r="E21" s="1" t="str">
        <f>IFERROR(__xludf.DUMMYFUNCTION("""COMPUTED_VALUE"""),"AFFIRMATIVE")</f>
        <v>AFFIRMATIVE</v>
      </c>
      <c r="F21" s="1" t="str">
        <f>IFERROR(__xludf.DUMMYFUNCTION("""COMPUTED_VALUE"""),"Emissions Trading")</f>
        <v>Emissions Trading</v>
      </c>
      <c r="G21" s="1" t="str">
        <f>IFERROR(__xludf.DUMMYFUNCTION("""COMPUTED_VALUE"""),"Offsets targeted towards Reforestation strategies can multiply the effectiveness of cap and trade but lack of these strats create a ticking time bomb of carbon that will speed up climate change ")</f>
        <v>Offsets targeted towards Reforestation strategies can multiply the effectiveness of cap and trade but lack of these strats create a ticking time bomb of carbon that will speed up climate change </v>
      </c>
      <c r="H21" s="1" t="str">
        <f>IFERROR(__xludf.DUMMYFUNCTION("""COMPUTED_VALUE"""),"I can't upload the article bc it's too big but it's free online! I put the free link in the citation")</f>
        <v>I can't upload the article bc it's too big but it's free online! I put the free link in the citation</v>
      </c>
      <c r="I21" s="1" t="str">
        <f>IFERROR(__xludf.DUMMYFUNCTION("""COMPUTED_VALUE"""),"Talamantes WSU")</f>
        <v>Talamantes WSU</v>
      </c>
      <c r="J21" s="1" t="str">
        <f>IFERROR(__xludf.DUMMYFUNCTION("""COMPUTED_VALUE"""),"1 (due   )")</f>
        <v>1 (due   )</v>
      </c>
      <c r="K21" s="2"/>
      <c r="L21" s="3" t="s">
        <v>2</v>
      </c>
    </row>
    <row r="22">
      <c r="A22" s="4">
        <f>IFERROR(__xludf.DUMMYFUNCTION("""COMPUTED_VALUE"""),45529.71618927083)</f>
        <v>45529.71619</v>
      </c>
      <c r="B22" s="1" t="str">
        <f>IFERROR(__xludf.DUMMYFUNCTION("""COMPUTED_VALUE"""),"riley.rosalie@gmail.com")</f>
        <v>riley.rosalie@gmail.com</v>
      </c>
      <c r="C22" s="1" t="str">
        <f>IFERROR(__xludf.DUMMYFUNCTION("""COMPUTED_VALUE"""),"Diedrich, G. (2023). “State Cap-and-Trade Programs,” Forest Carbon and Climate Program within the Department of Forestry at Michigan State University, https://www.canr.msu.edu/fccp/Uploads/Files/2b.%20Cap%20and%20Trade_FINAL_v2.pdf")</f>
        <v>Diedrich, G. (2023). “State Cap-and-Trade Programs,” Forest Carbon and Climate Program within the Department of Forestry at Michigan State University, https://www.canr.msu.edu/fccp/Uploads/Files/2b.%20Cap%20and%20Trade_FINAL_v2.pdf</v>
      </c>
      <c r="D22" s="1" t="str">
        <f>IFERROR(__xludf.DUMMYFUNCTION("""COMPUTED_VALUE"""),"Graham Diedrich is a masters student at Michigan State University, pursuing a Master of Science (M.S.) in Data Science with focus on environmental policy and climate change. His research centers on sustainable resource governance, environmental justice, a"&amp;"nd clean energy systems, former fellow with Dept of Clean Energy and Center for Environmental Justice")</f>
        <v>Graham Diedrich is a masters student at Michigan State University, pursuing a Master of Science (M.S.) in Data Science with focus on environmental policy and climate change. His research centers on sustainable resource governance, environmental justice, and clean energy systems, former fellow with Dept of Clean Energy and Center for Environmental Justice</v>
      </c>
      <c r="E22" s="1" t="str">
        <f>IFERROR(__xludf.DUMMYFUNCTION("""COMPUTED_VALUE"""),"AFFIRMATIVE")</f>
        <v>AFFIRMATIVE</v>
      </c>
      <c r="F22" s="1" t="str">
        <f>IFERROR(__xludf.DUMMYFUNCTION("""COMPUTED_VALUE"""),"Emissions Trading")</f>
        <v>Emissions Trading</v>
      </c>
      <c r="G22" s="1" t="str">
        <f>IFERROR(__xludf.DUMMYFUNCTION("""COMPUTED_VALUE"""),"different examples of state based cap and trade programs, knowledge based article that explains the program, impact scenario- forest health that is key to planetary health")</f>
        <v>different examples of state based cap and trade programs, knowledge based article that explains the program, impact scenario- forest health that is key to planetary health</v>
      </c>
      <c r="H22" s="1"/>
      <c r="I22" s="1" t="str">
        <f>IFERROR(__xludf.DUMMYFUNCTION("""COMPUTED_VALUE"""),"Talamantes WSU")</f>
        <v>Talamantes WSU</v>
      </c>
      <c r="J22" s="1" t="str">
        <f>IFERROR(__xludf.DUMMYFUNCTION("""COMPUTED_VALUE"""),"1 (due   )")</f>
        <v>1 (due   )</v>
      </c>
      <c r="K22" s="5" t="str">
        <f>IFERROR(__xludf.DUMMYFUNCTION("""COMPUTED_VALUE"""),"https://drive.google.com/open?id=1vsu1QJc33cNFFIfoaA3fBJ2kl9cm91c7")</f>
        <v>https://drive.google.com/open?id=1vsu1QJc33cNFFIfoaA3fBJ2kl9cm91c7</v>
      </c>
      <c r="L22" s="3" t="s">
        <v>1</v>
      </c>
    </row>
    <row r="23">
      <c r="A23" s="4">
        <f>IFERROR(__xludf.DUMMYFUNCTION("""COMPUTED_VALUE"""),45529.71914256945)</f>
        <v>45529.71914</v>
      </c>
      <c r="B23" s="1" t="str">
        <f>IFERROR(__xludf.DUMMYFUNCTION("""COMPUTED_VALUE"""),"riley.rosalie@gmail.com")</f>
        <v>riley.rosalie@gmail.com</v>
      </c>
      <c r="C23" s="1" t="str">
        <f>IFERROR(__xludf.DUMMYFUNCTION("""COMPUTED_VALUE"""),"McGrath, M. (6 August 2018). “Climate change: 'Hothouse Earth' risks even if CO2 emissions slashed” BBC, https://www.bbc.com/news/science-environment-45084144")</f>
        <v>McGrath, M. (6 August 2018). “Climate change: 'Hothouse Earth' risks even if CO2 emissions slashed” BBC, https://www.bbc.com/news/science-environment-45084144</v>
      </c>
      <c r="D23" s="1" t="str">
        <f>IFERROR(__xludf.DUMMYFUNCTION("""COMPUTED_VALUE"""),"Environmental Correspondent for BBC news services")</f>
        <v>Environmental Correspondent for BBC news services</v>
      </c>
      <c r="E23" s="1" t="str">
        <f>IFERROR(__xludf.DUMMYFUNCTION("""COMPUTED_VALUE"""),"AFFIRMATIVE")</f>
        <v>AFFIRMATIVE</v>
      </c>
      <c r="F23" s="1" t="str">
        <f>IFERROR(__xludf.DUMMYFUNCTION("""COMPUTED_VALUE"""),"Emissions Trading")</f>
        <v>Emissions Trading</v>
      </c>
      <c r="G23" s="1" t="str">
        <f>IFERROR(__xludf.DUMMYFUNCTION("""COMPUTED_VALUE"""),"Need to start finding decarbonization methods due to massive impacts of climate change we're already seeing, decarbonization methods are the only way to solve for rapid escalation")</f>
        <v>Need to start finding decarbonization methods due to massive impacts of climate change we're already seeing, decarbonization methods are the only way to solve for rapid escalation</v>
      </c>
      <c r="H23" s="1"/>
      <c r="I23" s="1" t="str">
        <f>IFERROR(__xludf.DUMMYFUNCTION("""COMPUTED_VALUE"""),"Talamantes WSU")</f>
        <v>Talamantes WSU</v>
      </c>
      <c r="J23" s="1" t="str">
        <f>IFERROR(__xludf.DUMMYFUNCTION("""COMPUTED_VALUE"""),"1 (due   )")</f>
        <v>1 (due   )</v>
      </c>
      <c r="K23" s="5" t="str">
        <f>IFERROR(__xludf.DUMMYFUNCTION("""COMPUTED_VALUE"""),"https://drive.google.com/open?id=1ncyiHFNw-XQRVuV44VWeDW98I-_Hex3Z")</f>
        <v>https://drive.google.com/open?id=1ncyiHFNw-XQRVuV44VWeDW98I-_Hex3Z</v>
      </c>
      <c r="L23" s="3" t="s">
        <v>1</v>
      </c>
    </row>
    <row r="24">
      <c r="A24" s="4">
        <f>IFERROR(__xludf.DUMMYFUNCTION("""COMPUTED_VALUE"""),45529.72269296296)</f>
        <v>45529.72269</v>
      </c>
      <c r="B24" s="1" t="str">
        <f>IFERROR(__xludf.DUMMYFUNCTION("""COMPUTED_VALUE"""),"riley.rosalie@gmail.com")</f>
        <v>riley.rosalie@gmail.com</v>
      </c>
      <c r="C24" s="1" t="str">
        <f>IFERROR(__xludf.DUMMYFUNCTION("""COMPUTED_VALUE"""),"Younes, L. (6 September 2022). ’Make the clean stuff cheaper’: Did the IRA kill the carbon tax?” Grist, https://grist.org/politics/did-biden-inflation-reduction-act-ira-kill-the-carbon-tax/")</f>
        <v>Younes, L. (6 September 2022). ’Make the clean stuff cheaper’: Did the IRA kill the carbon tax?” Grist, https://grist.org/politics/did-biden-inflation-reduction-act-ira-kill-the-carbon-tax/</v>
      </c>
      <c r="D24" s="1" t="str">
        <f>IFERROR(__xludf.DUMMYFUNCTION("""COMPUTED_VALUE"""),"Senior Staff Writer for Grist")</f>
        <v>Senior Staff Writer for Grist</v>
      </c>
      <c r="E24" s="1" t="str">
        <f>IFERROR(__xludf.DUMMYFUNCTION("""COMPUTED_VALUE"""),"AFFIRMATIVE")</f>
        <v>AFFIRMATIVE</v>
      </c>
      <c r="F24" s="1" t="str">
        <f>IFERROR(__xludf.DUMMYFUNCTION("""COMPUTED_VALUE"""),"Emissions Trading")</f>
        <v>Emissions Trading</v>
      </c>
      <c r="G24" s="1" t="str">
        <f>IFERROR(__xludf.DUMMYFUNCTION("""COMPUTED_VALUE"""),"Inherency for the affirmative, discusses the IRA killing a carbon tax and what is missing from it being an effective policy for a us shift to clean energy")</f>
        <v>Inherency for the affirmative, discusses the IRA killing a carbon tax and what is missing from it being an effective policy for a us shift to clean energy</v>
      </c>
      <c r="H24" s="1" t="str">
        <f>IFERROR(__xludf.DUMMYFUNCTION("""COMPUTED_VALUE"""),"article is too big to attach a pdf but it is free and a link is in the citation")</f>
        <v>article is too big to attach a pdf but it is free and a link is in the citation</v>
      </c>
      <c r="I24" s="1" t="str">
        <f>IFERROR(__xludf.DUMMYFUNCTION("""COMPUTED_VALUE"""),"Talamantes WSU")</f>
        <v>Talamantes WSU</v>
      </c>
      <c r="J24" s="1" t="str">
        <f>IFERROR(__xludf.DUMMYFUNCTION("""COMPUTED_VALUE"""),"1 (due   )")</f>
        <v>1 (due   )</v>
      </c>
      <c r="K24" s="2"/>
      <c r="L24" s="3" t="s">
        <v>2</v>
      </c>
    </row>
    <row r="25">
      <c r="A25" s="4">
        <f>IFERROR(__xludf.DUMMYFUNCTION("""COMPUTED_VALUE"""),45529.725295462966)</f>
        <v>45529.7253</v>
      </c>
      <c r="B25" s="1" t="str">
        <f>IFERROR(__xludf.DUMMYFUNCTION("""COMPUTED_VALUE"""),"riley.rosalie@gmail.com")</f>
        <v>riley.rosalie@gmail.com</v>
      </c>
      <c r="C25" s="1" t="str">
        <f>IFERROR(__xludf.DUMMYFUNCTION("""COMPUTED_VALUE"""),"Pacala, S. (2023). “Accelerating Decarbonization in the United States: Technology, Policy, and Societal Dimensions,” https://nap.nationalacademies.org/catalog/25931/accelerating-decarbonization-in-the-united-states-technology-policy-and-societal")</f>
        <v>Pacala, S. (2023). “Accelerating Decarbonization in the United States: Technology, Policy, and Societal Dimensions,” https://nap.nationalacademies.org/catalog/25931/accelerating-decarbonization-in-the-united-states-technology-policy-and-societal</v>
      </c>
      <c r="D25" s="1" t="str">
        <f>IFERROR(__xludf.DUMMYFUNCTION("""COMPUTED_VALUE"""),"Stephen Pacala 23 is a Frederick D. Petrie Professor in Ecology and Evolutionary Biology at Princeton University and director of the Carbon Mitigation Initiative, chair of report, with a long list of co-authors")</f>
        <v>Stephen Pacala 23 is a Frederick D. Petrie Professor in Ecology and Evolutionary Biology at Princeton University and director of the Carbon Mitigation Initiative, chair of report, with a long list of co-authors</v>
      </c>
      <c r="E25" s="1" t="str">
        <f>IFERROR(__xludf.DUMMYFUNCTION("""COMPUTED_VALUE"""),"AFFIRMATIVE")</f>
        <v>AFFIRMATIVE</v>
      </c>
      <c r="F25" s="1" t="str">
        <f>IFERROR(__xludf.DUMMYFUNCTION("""COMPUTED_VALUE"""),"Emissions Trading")</f>
        <v>Emissions Trading</v>
      </c>
      <c r="G25" s="1" t="str">
        <f>IFERROR(__xludf.DUMMYFUNCTION("""COMPUTED_VALUE"""),"Discusses the ways in which the us can accelerate decarbonization, mentions some inherency arguments about what is missing from the IRA re: clean energy")</f>
        <v>Discusses the ways in which the us can accelerate decarbonization, mentions some inherency arguments about what is missing from the IRA re: clean energy</v>
      </c>
      <c r="H25" s="1" t="str">
        <f>IFERROR(__xludf.DUMMYFUNCTION("""COMPUTED_VALUE"""),"it's a full book, the link provides a free download to the book")</f>
        <v>it's a full book, the link provides a free download to the book</v>
      </c>
      <c r="I25" s="1" t="str">
        <f>IFERROR(__xludf.DUMMYFUNCTION("""COMPUTED_VALUE"""),"Talamantes WSU")</f>
        <v>Talamantes WSU</v>
      </c>
      <c r="J25" s="1" t="str">
        <f>IFERROR(__xludf.DUMMYFUNCTION("""COMPUTED_VALUE"""),"1 (due   )")</f>
        <v>1 (due   )</v>
      </c>
      <c r="K25" s="2"/>
      <c r="L25" s="3" t="s">
        <v>2</v>
      </c>
    </row>
    <row r="26">
      <c r="A26" s="4">
        <f>IFERROR(__xludf.DUMMYFUNCTION("""COMPUTED_VALUE"""),45529.72892469907)</f>
        <v>45529.72892</v>
      </c>
      <c r="B26" s="1" t="str">
        <f>IFERROR(__xludf.DUMMYFUNCTION("""COMPUTED_VALUE"""),"riley.rosalie@gmail.com")</f>
        <v>riley.rosalie@gmail.com</v>
      </c>
      <c r="C26" s="1" t="str">
        <f>IFERROR(__xludf.DUMMYFUNCTION("""COMPUTED_VALUE"""),"Aldy, J.E. et al. (2022). How Is the US Pricing Carbon? How Could We Price Carbon?” Resources for the Future Working Paper https://media.rff.org/documents/WP_22-19_GN4gxYW.pdf. https://www.rff.org/publications/working-papers/how-is-the-us-pricing-carbon-h"&amp;"ow-could-we-price-carbon/")</f>
        <v>Aldy, J.E. et al. (2022). How Is the US Pricing Carbon? How Could We Price Carbon?” Resources for the Future Working Paper https://media.rff.org/documents/WP_22-19_GN4gxYW.pdf. https://www.rff.org/publications/working-papers/how-is-the-us-pricing-carbon-how-could-we-price-carbon/</v>
      </c>
      <c r="D26" s="1" t="str">
        <f>IFERROR(__xludf.DUMMYFUNCTION("""COMPUTED_VALUE"""),"Joseph E. Aldy is a university fellow at Resources for the Future and a Professor of the Practice of Public Policy at Harvard’s Kennedy School.")</f>
        <v>Joseph E. Aldy is a university fellow at Resources for the Future and a Professor of the Practice of Public Policy at Harvard’s Kennedy School.</v>
      </c>
      <c r="E26" s="1" t="str">
        <f>IFERROR(__xludf.DUMMYFUNCTION("""COMPUTED_VALUE"""),"AFFIRMATIVE")</f>
        <v>AFFIRMATIVE</v>
      </c>
      <c r="F26" s="1" t="str">
        <f>IFERROR(__xludf.DUMMYFUNCTION("""COMPUTED_VALUE"""),"Emissions Trading")</f>
        <v>Emissions Trading</v>
      </c>
      <c r="G26" s="1" t="str">
        <f>IFERROR(__xludf.DUMMYFUNCTION("""COMPUTED_VALUE"""),"Cap and Trade / Carbon tax economic benefits and solvency advocates, internal links to carbon pricing being key to us global leadership")</f>
        <v>Cap and Trade / Carbon tax economic benefits and solvency advocates, internal links to carbon pricing being key to us global leadership</v>
      </c>
      <c r="H26" s="1" t="str">
        <f>IFERROR(__xludf.DUMMYFUNCTION("""COMPUTED_VALUE"""),"Economists have for decades recommended that carbon dioxide and other
greenhouse gases be taxed—or otherwise priced—to provide incentives for their
reduction. The United States does not have a federal carbon tax; however, many state
and federal programs t"&amp;"o reduce carbon emissions effectively price carbon—for
example, through cap-and-trade systems or regulations. There are also programs that
subsidize reductions in carbon emissions. At the 2022 meetings of the American
Economic Association, the Society for"&amp;" Benefit-Cost Analysis brought together five
well-known economists—Joe Aldy, Dallas Burtraw, Carolyn Fischer, Meredith Fowlie,
and Rob Williams—to discuss how the United States does, in fact, price carbon and
how it could price carbon. Maureen Cropper cha"&amp;"ired the panel. This paper summarizes
their remarks.")</f>
        <v>Economists have for decades recommended that carbon dioxide and other
greenhouse gases be taxed—or otherwise priced—to provide incentives for their
reduction. The United States does not have a federal carbon tax; however, many state
and federal programs to reduce carbon emissions effectively price carbon—for
example, through cap-and-trade systems or regulations. There are also programs that
subsidize reductions in carbon emissions. At the 2022 meetings of the American
Economic Association, the Society for Benefit-Cost Analysis brought together five
well-known economists—Joe Aldy, Dallas Burtraw, Carolyn Fischer, Meredith Fowlie,
and Rob Williams—to discuss how the United States does, in fact, price carbon and
how it could price carbon. Maureen Cropper chaired the panel. This paper summarizes
their remarks.</v>
      </c>
      <c r="I26" s="1" t="str">
        <f>IFERROR(__xludf.DUMMYFUNCTION("""COMPUTED_VALUE"""),"Talamantes WSU")</f>
        <v>Talamantes WSU</v>
      </c>
      <c r="J26" s="1" t="str">
        <f>IFERROR(__xludf.DUMMYFUNCTION("""COMPUTED_VALUE"""),"1 (due   )")</f>
        <v>1 (due   )</v>
      </c>
      <c r="K26" s="5" t="str">
        <f>IFERROR(__xludf.DUMMYFUNCTION("""COMPUTED_VALUE"""),"https://drive.google.com/open?id=1dRz3H-BWrXt8jmLUBgFLZnqU7kupQV_E")</f>
        <v>https://drive.google.com/open?id=1dRz3H-BWrXt8jmLUBgFLZnqU7kupQV_E</v>
      </c>
      <c r="L26" s="3" t="s">
        <v>2</v>
      </c>
    </row>
    <row r="27">
      <c r="A27" s="4">
        <f>IFERROR(__xludf.DUMMYFUNCTION("""COMPUTED_VALUE"""),45529.73244548611)</f>
        <v>45529.73245</v>
      </c>
      <c r="B27" s="1" t="str">
        <f>IFERROR(__xludf.DUMMYFUNCTION("""COMPUTED_VALUE"""),"riley.rosalie@gmail.com")</f>
        <v>riley.rosalie@gmail.com</v>
      </c>
      <c r="C27" s="1" t="str">
        <f>IFERROR(__xludf.DUMMYFUNCTION("""COMPUTED_VALUE"""),"Harris, B. A. (2014). Repeating Failures of Carbon Trading. Pacific Rim Law &amp; Policy Journal, 23(3)")</f>
        <v>Harris, B. A. (2014). Repeating Failures of Carbon Trading. Pacific Rim Law &amp; Policy Journal, 23(3)</v>
      </c>
      <c r="D27" s="1" t="str">
        <f>IFERROR(__xludf.DUMMYFUNCTION("""COMPUTED_VALUE"""),"uris Doctor expected in 2014, University of Washington School of Law, specializing in energy law")</f>
        <v>uris Doctor expected in 2014, University of Washington School of Law, specializing in energy law</v>
      </c>
      <c r="E27" s="1" t="str">
        <f>IFERROR(__xludf.DUMMYFUNCTION("""COMPUTED_VALUE"""),"NEGATIVE")</f>
        <v>NEGATIVE</v>
      </c>
      <c r="F27" s="1" t="str">
        <f>IFERROR(__xludf.DUMMYFUNCTION("""COMPUTED_VALUE"""),"Emissions Trading")</f>
        <v>Emissions Trading</v>
      </c>
      <c r="G27" s="1" t="str">
        <f>IFERROR(__xludf.DUMMYFUNCTION("""COMPUTED_VALUE"""),"carbon trading failures, empirical examples of other countries trying cap and trade and them failing due to lack of oversight, structure, no profit motive ")</f>
        <v>carbon trading failures, empirical examples of other countries trying cap and trade and them failing due to lack of oversight, structure, no profit motive </v>
      </c>
      <c r="H27" s="1" t="str">
        <f>IFERROR(__xludf.DUMMYFUNCTION("""COMPUTED_VALUE"""),"article is too big to upload but it is available for free - https://digitalcommons.law.uw.edu/cgi/viewcontent.cgi?article=1647&amp;context=wilj
Carbon emissions trading, or cap-and-trade, is increasingly in vogue
among Pacific Rim countries as a means of com"&amp;"bating climate change. In theory, capand-trade promises to solve climate change by capping and gradually reducing the
amount of carbon dioxide and greenhouse gas emissions, and to do so with maximum
economic efficiency. In reality, environmentally effecti"&amp;"ve and economically efficient
carbon emission trading systems have eluded both the international community and the
European Union, and in practice have arguably increased emissions by artificially
prolonging and legitimizing reliance on fossil fuels.
In "&amp;"spite of this poor track record, five countries on the Pacific Rim committed to
reducing their carbon dioxide emissions through domestic trading systems: Australia,
China, Japan, New Zealand, and South Korea. Although these countries’ commitment to
mitiga"&amp;"ting climate change is admirable, their domestic carbon emissions trading systems
are characterized by the very same features that rendered the Kyoto Protocol’s
international carbon market and the European Union’s Emissions Trading Scheme utterly
ineffect"&amp;"ive. These countries are consciously repeating the same mistakes and expecting
different results. Analyzing these five experiments, this comment identifies the features
that will likely undermine the environmental and efficiency goals of these systems. Th"&amp;"is
comment argues that due to these shortcomings, the emissions trading systems on the
Pacific Rim will not lower carbon dioxide emissions to safe levels—instead, they will
exacerbate climate change by artificially prolonging and legitimizing the use of f"&amp;"ossil
fuels. In addition, the reappearance on the Pacific Rim of these unsound design features
lends credence to the theory that emissions trading is fundamentally unreliable as a
means of regulating and reducing greenhouse gas emissions.")</f>
        <v>article is too big to upload but it is available for free - https://digitalcommons.law.uw.edu/cgi/viewcontent.cgi?article=1647&amp;context=wilj
Carbon emissions trading, or cap-and-trade, is increasingly in vogue
among Pacific Rim countries as a means of combating climate change. In theory, capand-trade promises to solve climate change by capping and gradually reducing the
amount of carbon dioxide and greenhouse gas emissions, and to do so with maximum
economic efficiency. In reality, environmentally effective and economically efficient
carbon emission trading systems have eluded both the international community and the
European Union, and in practice have arguably increased emissions by artificially
prolonging and legitimizing reliance on fossil fuels.
In spite of this poor track record, five countries on the Pacific Rim committed to
reducing their carbon dioxide emissions through domestic trading systems: Australia,
China, Japan, New Zealand, and South Korea. Although these countries’ commitment to
mitigating climate change is admirable, their domestic carbon emissions trading systems
are characterized by the very same features that rendered the Kyoto Protocol’s
international carbon market and the European Union’s Emissions Trading Scheme utterly
ineffective. These countries are consciously repeating the same mistakes and expecting
different results. Analyzing these five experiments, this comment identifies the features
that will likely undermine the environmental and efficiency goals of these systems. This
comment argues that due to these shortcomings, the emissions trading systems on the
Pacific Rim will not lower carbon dioxide emissions to safe levels—instead, they will
exacerbate climate change by artificially prolonging and legitimizing the use of fossil
fuels. In addition, the reappearance on the Pacific Rim of these unsound design features
lends credence to the theory that emissions trading is fundamentally unreliable as a
means of regulating and reducing greenhouse gas emissions.</v>
      </c>
      <c r="I27" s="1" t="str">
        <f>IFERROR(__xludf.DUMMYFUNCTION("""COMPUTED_VALUE"""),"Talamantes WSU")</f>
        <v>Talamantes WSU</v>
      </c>
      <c r="J27" s="1" t="str">
        <f>IFERROR(__xludf.DUMMYFUNCTION("""COMPUTED_VALUE"""),"1 (due   )")</f>
        <v>1 (due   )</v>
      </c>
      <c r="K27" s="2"/>
      <c r="L27" s="3" t="s">
        <v>2</v>
      </c>
    </row>
    <row r="28">
      <c r="A28" s="4">
        <f>IFERROR(__xludf.DUMMYFUNCTION("""COMPUTED_VALUE"""),45529.74397836806)</f>
        <v>45529.74398</v>
      </c>
      <c r="B28" s="1" t="str">
        <f>IFERROR(__xludf.DUMMYFUNCTION("""COMPUTED_VALUE"""),"riley.rosalie@gmail.com")</f>
        <v>riley.rosalie@gmail.com</v>
      </c>
      <c r="C28" s="1" t="str">
        <f>IFERROR(__xludf.DUMMYFUNCTION("""COMPUTED_VALUE"""),"Todd, J. (2023). Climate Cap and Trade and Pollution Hotspots: An Economics Perspective, Georgia State University Law Review, 39(4)")</f>
        <v>Todd, J. (2023). Climate Cap and Trade and Pollution Hotspots: An Economics Perspective, Georgia State University Law Review, 39(4)</v>
      </c>
      <c r="D28" s="1" t="str">
        <f>IFERROR(__xludf.DUMMYFUNCTION("""COMPUTED_VALUE"""),"Jeff Todd is an Associate Professor of Business Law, Department of Finance &amp; Economics, Texas State University. This Article is based on research conducted with the aid of a Dean’s Summer Research Stipend")</f>
        <v>Jeff Todd is an Associate Professor of Business Law, Department of Finance &amp; Economics, Texas State University. This Article is based on research conducted with the aid of a Dean’s Summer Research Stipend</v>
      </c>
      <c r="E28" s="1" t="str">
        <f>IFERROR(__xludf.DUMMYFUNCTION("""COMPUTED_VALUE"""),"NEGATIVE")</f>
        <v>NEGATIVE</v>
      </c>
      <c r="F28" s="1" t="str">
        <f>IFERROR(__xludf.DUMMYFUNCTION("""COMPUTED_VALUE"""),"Emissions Trading")</f>
        <v>Emissions Trading</v>
      </c>
      <c r="G28" s="1" t="str">
        <f>IFERROR(__xludf.DUMMYFUNCTION("""COMPUTED_VALUE"""),"Cap and trade creating pollutants in marginalized neighborhoods, creates adverse impacts and doesn't reduce ghg emissions by a lot ")</f>
        <v>Cap and trade creating pollutants in marginalized neighborhoods, creates adverse impacts and doesn't reduce ghg emissions by a lot </v>
      </c>
      <c r="H28" s="1" t="str">
        <f>IFERROR(__xludf.DUMMYFUNCTION("""COMPUTED_VALUE"""),"Although cap and trade is overwhelmingly preferred by economists for reducing greenhouse gases and spurring the adoption of renewables and other zero-carbon alternatives, some scholars and advocates worry that it allows firms to concentrate operations in "&amp;"poor and minority neighborhoods, thus leading to hot spots of harmful copollutants. Commentators differ on the danger of hot spots and the necessity of adjusting cap-and-trade programs to avoid them, however. This Article therefore surveys ex post economi"&amp;"c studies of cap-and-trade programs to show that they do not lead to hot spots but may actually cool them—perhaps even better than command-andcontrol regulation. Accordingly, cap and trade unencumbered by unnecessary restrictions should be part of the pol"&amp;"icy mix for a just
energy transition. ")</f>
        <v>Although cap and trade is overwhelmingly preferred by economists for reducing greenhouse gases and spurring the adoption of renewables and other zero-carbon alternatives, some scholars and advocates worry that it allows firms to concentrate operations in poor and minority neighborhoods, thus leading to hot spots of harmful copollutants. Commentators differ on the danger of hot spots and the necessity of adjusting cap-and-trade programs to avoid them, however. This Article therefore surveys ex post economic studies of cap-and-trade programs to show that they do not lead to hot spots but may actually cool them—perhaps even better than command-andcontrol regulation. Accordingly, cap and trade unencumbered by unnecessary restrictions should be part of the policy mix for a just
energy transition. </v>
      </c>
      <c r="I28" s="1" t="str">
        <f>IFERROR(__xludf.DUMMYFUNCTION("""COMPUTED_VALUE"""),"Talamantes WSU")</f>
        <v>Talamantes WSU</v>
      </c>
      <c r="J28" s="1" t="str">
        <f>IFERROR(__xludf.DUMMYFUNCTION("""COMPUTED_VALUE"""),"1 (due   )")</f>
        <v>1 (due   )</v>
      </c>
      <c r="K28" s="5" t="str">
        <f>IFERROR(__xludf.DUMMYFUNCTION("""COMPUTED_VALUE"""),"https://drive.google.com/open?id=1hjGVKjnIAgcuGMLnq1Yw3TwNNAGqKXIl")</f>
        <v>https://drive.google.com/open?id=1hjGVKjnIAgcuGMLnq1Yw3TwNNAGqKXIl</v>
      </c>
      <c r="L28" s="3" t="s">
        <v>1</v>
      </c>
    </row>
    <row r="29">
      <c r="A29" s="4">
        <f>IFERROR(__xludf.DUMMYFUNCTION("""COMPUTED_VALUE"""),45530.60590559027)</f>
        <v>45530.60591</v>
      </c>
      <c r="B29" s="1" t="str">
        <f>IFERROR(__xludf.DUMMYFUNCTION("""COMPUTED_VALUE"""),"gabrielparkin@mail.weber.edu")</f>
        <v>gabrielparkin@mail.weber.edu</v>
      </c>
      <c r="C29" s="1" t="str">
        <f>IFERROR(__xludf.DUMMYFUNCTION("""COMPUTED_VALUE"""),"Driesen, D. M., &amp; Mehling, M. A. (2023). Pricing, decarbonization, and green new deals. Wm. &amp; Mary Env't L. &amp; Pol'y Rev., 48, 211.")</f>
        <v>Driesen, D. M., &amp; Mehling, M. A. (2023). Pricing, decarbonization, and green new deals. Wm. &amp; Mary Env't L. &amp; Pol'y Rev., 48, 211.</v>
      </c>
      <c r="D29" s="1" t="str">
        <f>IFERROR(__xludf.DUMMYFUNCTION("""COMPUTED_VALUE"""),"David M. Driesen is University Professor at Syracuse University College of Law. He is the author of The Economic Dynamics of Environmental Law (MIT Press, 2003), winner of the 2004 Lynton Keith Caldwell Award for best book on environmental policy, present"&amp;"ed by the American Political Science Association.")</f>
        <v>David M. Driesen is University Professor at Syracuse University College of Law. He is the author of The Economic Dynamics of Environmental Law (MIT Press, 2003), winner of the 2004 Lynton Keith Caldwell Award for best book on environmental policy, presented by the American Political Science Association.</v>
      </c>
      <c r="E29" s="1" t="str">
        <f>IFERROR(__xludf.DUMMYFUNCTION("""COMPUTED_VALUE"""),"NEGATIVE")</f>
        <v>NEGATIVE</v>
      </c>
      <c r="F29" s="1" t="str">
        <f>IFERROR(__xludf.DUMMYFUNCTION("""COMPUTED_VALUE"""),"Emissions Trading")</f>
        <v>Emissions Trading</v>
      </c>
      <c r="G29" s="1" t="str">
        <f>IFERROR(__xludf.DUMMYFUNCTION("""COMPUTED_VALUE"""),"Cap and Trade programs produce short term advantages, at the cost of long term change.  It's inherently unambitious both in pricing, and the percentage of emissions that it can actually impact.")</f>
        <v>Cap and Trade programs produce short term advantages, at the cost of long term change.  It's inherently unambitious both in pricing, and the percentage of emissions that it can actually impact.</v>
      </c>
      <c r="H29" s="1" t="str">
        <f>IFERROR(__xludf.DUMMYFUNCTION("""COMPUTED_VALUE"""),"This Article evaluates an emerging literature claiming that carbon pricing (emissions trading or carbon taxes) has not performed very well and therefore cannot be the basis for the sort of transformative change now required to address the climate crisis. "&amp;"This is an important claim, as carbon pricing has been viewed as being at the heart of global efforts to address one of our most important contemporary problems. We provide theoretical and empirical support for these critics’ claim that carbon pricing by "&amp;"itself cannot catalyze the technological transformation now required, and that other approaches have done and will likely do better. We also agree with critics that pricing approaches have suffered from insufficient ambition and effectiveness in routine e"&amp;"mission reductions. But we do not think that the critics have shown that alternative approaches have and will perform better in those terms. We develop a framework for enhancing empirical evaluation of past programs, as we now have a wealth of experience "&amp;"with both carbon pricing and a variety of alternatives, but a dearth of econometric comparative studies of past performance. We also explore the normative implications of the critics’ claims. We argue that even if they are entirely right, we should welcom"&amp;"e even insufficiently ambitious pollution taxes as likely to enhance other programs and raise revenue to support them. We point out, however, that the trading programs now common around the world may undermine rather than support more successful programs "&amp;"and suggest that regulators consider cap-without-trade (imposing mass-based caps on pollution sources without allowing the trading of obligations) as an alternative. We also discuss the possibility of overcoming the critics’ objections by improving carbon"&amp;" pricing programs.")</f>
        <v>This Article evaluates an emerging literature claiming that carbon pricing (emissions trading or carbon taxes) has not performed very well and therefore cannot be the basis for the sort of transformative change now required to address the climate crisis. This is an important claim, as carbon pricing has been viewed as being at the heart of global efforts to address one of our most important contemporary problems. We provide theoretical and empirical support for these critics’ claim that carbon pricing by itself cannot catalyze the technological transformation now required, and that other approaches have done and will likely do better. We also agree with critics that pricing approaches have suffered from insufficient ambition and effectiveness in routine emission reductions. But we do not think that the critics have shown that alternative approaches have and will perform better in those terms. We develop a framework for enhancing empirical evaluation of past programs, as we now have a wealth of experience with both carbon pricing and a variety of alternatives, but a dearth of econometric comparative studies of past performance. We also explore the normative implications of the critics’ claims. We argue that even if they are entirely right, we should welcome even insufficiently ambitious pollution taxes as likely to enhance other programs and raise revenue to support them. We point out, however, that the trading programs now common around the world may undermine rather than support more successful programs and suggest that regulators consider cap-without-trade (imposing mass-based caps on pollution sources without allowing the trading of obligations) as an alternative. We also discuss the possibility of overcoming the critics’ objections by improving carbon pricing programs.</v>
      </c>
      <c r="I29" s="1" t="str">
        <f>IFERROR(__xludf.DUMMYFUNCTION("""COMPUTED_VALUE"""),"Parkin WSU")</f>
        <v>Parkin WSU</v>
      </c>
      <c r="J29" s="1" t="str">
        <f>IFERROR(__xludf.DUMMYFUNCTION("""COMPUTED_VALUE"""),"1 (due   )")</f>
        <v>1 (due   )</v>
      </c>
      <c r="K29" s="5" t="str">
        <f>IFERROR(__xludf.DUMMYFUNCTION("""COMPUTED_VALUE"""),"https://drive.google.com/open?id=1QMzKOMerUCQy5zfyOFjN0tgsfeRswtgw")</f>
        <v>https://drive.google.com/open?id=1QMzKOMerUCQy5zfyOFjN0tgsfeRswtgw</v>
      </c>
      <c r="L29" s="3" t="s">
        <v>1</v>
      </c>
    </row>
    <row r="30">
      <c r="A30" s="4">
        <f>IFERROR(__xludf.DUMMYFUNCTION("""COMPUTED_VALUE"""),45530.63365898148)</f>
        <v>45530.63366</v>
      </c>
      <c r="B30" s="1" t="str">
        <f>IFERROR(__xludf.DUMMYFUNCTION("""COMPUTED_VALUE"""),"gabrielparkin@mail.weber.edu")</f>
        <v>gabrielparkin@mail.weber.edu</v>
      </c>
      <c r="C30" s="1" t="str">
        <f>IFERROR(__xludf.DUMMYFUNCTION("""COMPUTED_VALUE"""),"Ervine, K. (2018). How low can it go? Analysing the political economy of carbon market design and low carbon prices. New Political Economy, 23(6), 690-710.")</f>
        <v>Ervine, K. (2018). How low can it go? Analysing the political economy of carbon market design and low carbon prices. New Political Economy, 23(6), 690-710.</v>
      </c>
      <c r="D30" s="1" t="str">
        <f>IFERROR(__xludf.DUMMYFUNCTION("""COMPUTED_VALUE"""),"Dr. Kate Ervine holds a PhD in Political Science from York University. Her research draws on the traditions of critical political economy and political ecology to examine global environmental governance, the politics of climate change mitigation, global c"&amp;"arbon markets and carbon offsetting, climate finance to the Global South, and climate justice.  Dr. Ervine is currently working on co-producing Carbon Addicts, a short documentary film that is being funded through a collaborative grant under the SSHRC-fun"&amp;"ded project The Hidden Costs of Global Supply Chains. The film will be carried by Scientific American upon completion. Dr. Ervine is also working on a book project, The Everyday Politics of Global Environmental Problems, under contract with Polity Press. "&amp;"Finally, she maintains an active research project that examines the political economy of Article 6 of the Paris Agreement under which the rules for global carbon trading and carbon offsetting are being developed, in addition to researching the politics of"&amp;" using market mechanisms to raise climate finance for the Global South.  Dr. Ervine is the author of Carbon (Polity Press, 2018), the co-editor (with Gavin Fridell) of Beyond Free Trade: Alternative Approaches to Trade, Politics, and Power (Palgrave MacMi"&amp;"llan, 2015), and the author of numerous journal articles and book chapters. She currently sits as a full member of Carbon Market Watch, an international policy and advocacy organization headquartered in Belgium; she is a Research Associate with the Canadi"&amp;"an Centre for Policy Alternatives - Nova Scotia; and she works with the Affordable Energy Coalition on issues energy justice in Nova Scotia.")</f>
        <v>Dr. Kate Ervine holds a PhD in Political Science from York University. Her research draws on the traditions of critical political economy and political ecology to examine global environmental governance, the politics of climate change mitigation, global carbon markets and carbon offsetting, climate finance to the Global South, and climate justice.  Dr. Ervine is currently working on co-producing Carbon Addicts, a short documentary film that is being funded through a collaborative grant under the SSHRC-funded project The Hidden Costs of Global Supply Chains. The film will be carried by Scientific American upon completion. Dr. Ervine is also working on a book project, The Everyday Politics of Global Environmental Problems, under contract with Polity Press. Finally, she maintains an active research project that examines the political economy of Article 6 of the Paris Agreement under which the rules for global carbon trading and carbon offsetting are being developed, in addition to researching the politics of using market mechanisms to raise climate finance for the Global South.  Dr. Ervine is the author of Carbon (Polity Press, 2018), the co-editor (with Gavin Fridell) of Beyond Free Trade: Alternative Approaches to Trade, Politics, and Power (Palgrave MacMillan, 2015), and the author of numerous journal articles and book chapters. She currently sits as a full member of Carbon Market Watch, an international policy and advocacy organization headquartered in Belgium; she is a Research Associate with the Canadian Centre for Policy Alternatives - Nova Scotia; and she works with the Affordable Energy Coalition on issues energy justice in Nova Scotia.</v>
      </c>
      <c r="E30" s="1" t="str">
        <f>IFERROR(__xludf.DUMMYFUNCTION("""COMPUTED_VALUE"""),"NEGATIVE")</f>
        <v>NEGATIVE</v>
      </c>
      <c r="F30" s="1" t="str">
        <f>IFERROR(__xludf.DUMMYFUNCTION("""COMPUTED_VALUE"""),"Emissions Trading")</f>
        <v>Emissions Trading</v>
      </c>
      <c r="G30" s="1" t="str">
        <f>IFERROR(__xludf.DUMMYFUNCTION("""COMPUTED_VALUE"""),"Dives into grey areas regarding what the price should be, and what emissions should be traded.  The grey areas generate core controversy regarding how trade should work,and how it struggles to succeed")</f>
        <v>Dives into grey areas regarding what the price should be, and what emissions should be traded.  The grey areas generate core controversy regarding how trade should work,and how it struggles to succeed</v>
      </c>
      <c r="H30" s="1" t="str">
        <f>IFERROR(__xludf.DUMMYFUNCTION("""COMPUTED_VALUE"""),"Despite the ascendency of carbon pricing as a key regulatory strategy for
governing anthropogenic climate change, insufficient attention has been
paid to the issue of price discovery in emission trading schemes, now
the dominant form of carbon pricing glo"&amp;"bally. By analysing the political
economy of carbon market design, this paper highlights a number of
design features that are instrumental in depressing carbon prices across
the world’s emission trading schemes, keeping them well below those
considered ne"&amp;"cessary to spur deep emission reductions in order to avoid
catastrophic global warming. In doing so, it advances critiques of carbon
trading by illuminating the extent to which carbon markets manifest as
expressions of specific power relations rooted in t"&amp;"he political economy
of advanced capitalism, with low prices ensuring minimal disruption to
business as usual.")</f>
        <v>Despite the ascendency of carbon pricing as a key regulatory strategy for
governing anthropogenic climate change, insufficient attention has been
paid to the issue of price discovery in emission trading schemes, now
the dominant form of carbon pricing globally. By analysing the political
economy of carbon market design, this paper highlights a number of
design features that are instrumental in depressing carbon prices across
the world’s emission trading schemes, keeping them well below those
considered necessary to spur deep emission reductions in order to avoid
catastrophic global warming. In doing so, it advances critiques of carbon
trading by illuminating the extent to which carbon markets manifest as
expressions of specific power relations rooted in the political economy
of advanced capitalism, with low prices ensuring minimal disruption to
business as usual.</v>
      </c>
      <c r="I30" s="1" t="str">
        <f>IFERROR(__xludf.DUMMYFUNCTION("""COMPUTED_VALUE"""),"Parkin WSU")</f>
        <v>Parkin WSU</v>
      </c>
      <c r="J30" s="1" t="str">
        <f>IFERROR(__xludf.DUMMYFUNCTION("""COMPUTED_VALUE"""),"1 (due   )")</f>
        <v>1 (due   )</v>
      </c>
      <c r="K30" s="5" t="str">
        <f>IFERROR(__xludf.DUMMYFUNCTION("""COMPUTED_VALUE"""),"https://drive.google.com/open?id=1hPFsA80zzs00SKd9EGfpCojuPpmbYE7-")</f>
        <v>https://drive.google.com/open?id=1hPFsA80zzs00SKd9EGfpCojuPpmbYE7-</v>
      </c>
      <c r="L30" s="3" t="s">
        <v>2</v>
      </c>
    </row>
    <row r="31">
      <c r="A31" s="4">
        <f>IFERROR(__xludf.DUMMYFUNCTION("""COMPUTED_VALUE"""),45530.64537962963)</f>
        <v>45530.64538</v>
      </c>
      <c r="B31" s="1" t="str">
        <f>IFERROR(__xludf.DUMMYFUNCTION("""COMPUTED_VALUE"""),"gabrielparkin@mail.weber.edu")</f>
        <v>gabrielparkin@mail.weber.edu</v>
      </c>
      <c r="C31" s="1" t="str">
        <f>IFERROR(__xludf.DUMMYFUNCTION("""COMPUTED_VALUE"""),"Espinosa-Flor, S. I. (2022). A right to pollute versus a duty to mitigate: on the basis of emissions trading and carbon markets. Climate Policy, 22(7), 950-960.")</f>
        <v>Espinosa-Flor, S. I. (2022). A right to pollute versus a duty to mitigate: on the basis of emissions trading and carbon markets. Climate Policy, 22(7), 950-960.</v>
      </c>
      <c r="D31" s="1" t="str">
        <f>IFERROR(__xludf.DUMMYFUNCTION("""COMPUTED_VALUE"""),"Dr. Espinoza has a PHD specializing in Environmental Philosophy, Climate Ethics, Philosophy of Science.")</f>
        <v>Dr. Espinoza has a PHD specializing in Environmental Philosophy, Climate Ethics, Philosophy of Science.</v>
      </c>
      <c r="E31" s="1" t="str">
        <f>IFERROR(__xludf.DUMMYFUNCTION("""COMPUTED_VALUE"""),"NEGATIVE")</f>
        <v>NEGATIVE</v>
      </c>
      <c r="F31" s="1" t="str">
        <f>IFERROR(__xludf.DUMMYFUNCTION("""COMPUTED_VALUE"""),"Emissions Trading")</f>
        <v>Emissions Trading</v>
      </c>
      <c r="G31" s="1" t="str">
        <f>IFERROR(__xludf.DUMMYFUNCTION("""COMPUTED_VALUE"""),"It makes ethical case args; how do you fairly distribute permits? How do you chose an ethical price limit?  Outlines core controversies regarding the specifics of trading.")</f>
        <v>It makes ethical case args; how do you fairly distribute permits? How do you chose an ethical price limit?  Outlines core controversies regarding the specifics of trading.</v>
      </c>
      <c r="H31" s="1" t="str">
        <f>IFERROR(__xludf.DUMMYFUNCTION("""COMPUTED_VALUE"""),"Emissions trading, also known as cap-and-trade systems, has not yet fulfilled its function of mitigating overall global greenhouse gas (GHG) emissions. The reasons for this failure are manifold and have been broadly discussed at political and empirical le"&amp;"vels in the last decades. However, much can still be said from a philosophical perspective. Such an analysis is not limited to the evaluation of cap-and-trade systems’ lack of efficiency and the consequences arising from it but goes deeper into the moral "&amp;"questions underlying cap-and-trade systems. This is how this paper attempts to contribute to and expand the debate on emissions trading at different levels. By examining a popular analogy between traditional and climate commons, I challenge some of the ec"&amp;"onomic and normative assumptions at the core of cap-and-trade systems. I argue that these assumptions lead to misguided conclusions in responding to the causes of climate change. This will partly explain why, although emissions trading is intended to fulf"&amp;"il a duty to mitigate greenhouse gases, we should not pin all our hopes on it just yet.")</f>
        <v>Emissions trading, also known as cap-and-trade systems, has not yet fulfilled its function of mitigating overall global greenhouse gas (GHG) emissions. The reasons for this failure are manifold and have been broadly discussed at political and empirical levels in the last decades. However, much can still be said from a philosophical perspective. Such an analysis is not limited to the evaluation of cap-and-trade systems’ lack of efficiency and the consequences arising from it but goes deeper into the moral questions underlying cap-and-trade systems. This is how this paper attempts to contribute to and expand the debate on emissions trading at different levels. By examining a popular analogy between traditional and climate commons, I challenge some of the economic and normative assumptions at the core of cap-and-trade systems. I argue that these assumptions lead to misguided conclusions in responding to the causes of climate change. This will partly explain why, although emissions trading is intended to fulfil a duty to mitigate greenhouse gases, we should not pin all our hopes on it just yet.</v>
      </c>
      <c r="I31" s="1" t="str">
        <f>IFERROR(__xludf.DUMMYFUNCTION("""COMPUTED_VALUE"""),"Parkin WSU")</f>
        <v>Parkin WSU</v>
      </c>
      <c r="J31" s="1" t="str">
        <f>IFERROR(__xludf.DUMMYFUNCTION("""COMPUTED_VALUE"""),"1 (due   )")</f>
        <v>1 (due   )</v>
      </c>
      <c r="K31" s="5" t="str">
        <f>IFERROR(__xludf.DUMMYFUNCTION("""COMPUTED_VALUE"""),"https://drive.google.com/open?id=1bWZnPn9EgUgD8PhFK8zWBLuN6dpVwISI")</f>
        <v>https://drive.google.com/open?id=1bWZnPn9EgUgD8PhFK8zWBLuN6dpVwISI</v>
      </c>
      <c r="L31" s="3" t="s">
        <v>1</v>
      </c>
    </row>
    <row r="32">
      <c r="A32" s="4">
        <f>IFERROR(__xludf.DUMMYFUNCTION("""COMPUTED_VALUE"""),45530.651997002315)</f>
        <v>45530.652</v>
      </c>
      <c r="B32" s="1" t="str">
        <f>IFERROR(__xludf.DUMMYFUNCTION("""COMPUTED_VALUE"""),"gabrielparkin@mail.weber.edu")</f>
        <v>gabrielparkin@mail.weber.edu</v>
      </c>
      <c r="C32" s="1" t="str">
        <f>IFERROR(__xludf.DUMMYFUNCTION("""COMPUTED_VALUE"""),"Ball, J. (2018). Hot Air Won't Fly: The New Climate Consensus That Carbon Pricing Isn't Cutting It.  2487-2510 Elsevier Inc.")</f>
        <v>Ball, J. (2018). Hot Air Won't Fly: The New Climate Consensus That Carbon Pricing Isn't Cutting It.  2487-2510 Elsevier Inc.</v>
      </c>
      <c r="D32" s="1" t="str">
        <f>IFERROR(__xludf.DUMMYFUNCTION("""COMPUTED_VALUE"""),"Jeffrey Ball, a writer whose work focuses on energy and the environment,  is the scholar-in-residence at Stanford University’s Steyer-Taylor Center for Energy Policy and Finance and a lecturer at Stanford Law School.")</f>
        <v>Jeffrey Ball, a writer whose work focuses on energy and the environment,  is the scholar-in-residence at Stanford University’s Steyer-Taylor Center for Energy Policy and Finance and a lecturer at Stanford Law School.</v>
      </c>
      <c r="E32" s="1" t="str">
        <f>IFERROR(__xludf.DUMMYFUNCTION("""COMPUTED_VALUE"""),"MIXED")</f>
        <v>MIXED</v>
      </c>
      <c r="F32" s="1" t="str">
        <f>IFERROR(__xludf.DUMMYFUNCTION("""COMPUTED_VALUE"""),"Emissions Trading")</f>
        <v>Emissions Trading</v>
      </c>
      <c r="G32" s="1" t="str">
        <f>IFERROR(__xludf.DUMMYFUNCTION("""COMPUTED_VALUE"""),"This offers a top level, summary of Emissions trading.  Short article that offers a comprehensive view of the issue.")</f>
        <v>This offers a top level, summary of Emissions trading.  Short article that offers a comprehensive view of the issue.</v>
      </c>
      <c r="H32" s="1"/>
      <c r="I32" s="1" t="str">
        <f>IFERROR(__xludf.DUMMYFUNCTION("""COMPUTED_VALUE"""),"Parkin WSU")</f>
        <v>Parkin WSU</v>
      </c>
      <c r="J32" s="1" t="str">
        <f>IFERROR(__xludf.DUMMYFUNCTION("""COMPUTED_VALUE"""),"1 (due   )")</f>
        <v>1 (due   )</v>
      </c>
      <c r="K32" s="5" t="str">
        <f>IFERROR(__xludf.DUMMYFUNCTION("""COMPUTED_VALUE"""),"https://drive.google.com/open?id=1B1l-ySAVmhUYoU8vKWIoYrwWHbVJN77X")</f>
        <v>https://drive.google.com/open?id=1B1l-ySAVmhUYoU8vKWIoYrwWHbVJN77X</v>
      </c>
      <c r="L32" s="3" t="s">
        <v>2</v>
      </c>
    </row>
    <row r="33">
      <c r="A33" s="4">
        <f>IFERROR(__xludf.DUMMYFUNCTION("""COMPUTED_VALUE"""),45530.680949560185)</f>
        <v>45530.68095</v>
      </c>
      <c r="B33" s="1" t="str">
        <f>IFERROR(__xludf.DUMMYFUNCTION("""COMPUTED_VALUE"""),"gabrielparkin@mail.weber.edu")</f>
        <v>gabrielparkin@mail.weber.edu</v>
      </c>
      <c r="C33" s="1" t="str">
        <f>IFERROR(__xludf.DUMMYFUNCTION("""COMPUTED_VALUE"""),"Schmalensee, R., &amp; Stavins, R. N. (2017). Lessons learned from three decades of experience with cap and trade. Review of Environmental Economics and Policy.")</f>
        <v>Schmalensee, R., &amp; Stavins, R. N. (2017). Lessons learned from three decades of experience with cap and trade. Review of Environmental Economics and Policy.</v>
      </c>
      <c r="D33" s="1" t="str">
        <f>IFERROR(__xludf.DUMMYFUNCTION("""COMPUTED_VALUE"""),"Richard Schmalensee and Robert N. Stavins are both leading experts in the field, having written dozens of articles and researched extensively on the subject")</f>
        <v>Richard Schmalensee and Robert N. Stavins are both leading experts in the field, having written dozens of articles and researched extensively on the subject</v>
      </c>
      <c r="E33" s="1" t="str">
        <f>IFERROR(__xludf.DUMMYFUNCTION("""COMPUTED_VALUE"""),"MIXED")</f>
        <v>MIXED</v>
      </c>
      <c r="F33" s="1" t="str">
        <f>IFERROR(__xludf.DUMMYFUNCTION("""COMPUTED_VALUE"""),"Emissions Trading")</f>
        <v>Emissions Trading</v>
      </c>
      <c r="G33" s="1" t="str">
        <f>IFERROR(__xludf.DUMMYFUNCTION("""COMPUTED_VALUE"""),"Gives historic examples with pros and cons of each.  Highlights how ambiguity contributes to certain solvency deficits, and offers various solutions.  ")</f>
        <v>Gives historic examples with pros and cons of each.  Highlights how ambiguity contributes to certain solvency deficits, and offers various solutions.  </v>
      </c>
      <c r="H33" s="1" t="str">
        <f>IFERROR(__xludf.DUMMYFUNCTION("""COMPUTED_VALUE"""),"This article presents an overview of the design and performance of seven major emissions trading programs that have been implemented over the past 30 years and identifies a number of important lessons for future applications of this important environmenta"&amp;"l policy instrument. A brief discussion of several other proposed or implemented emissions trading programs is also included.")</f>
        <v>This article presents an overview of the design and performance of seven major emissions trading programs that have been implemented over the past 30 years and identifies a number of important lessons for future applications of this important environmental policy instrument. A brief discussion of several other proposed or implemented emissions trading programs is also included.</v>
      </c>
      <c r="I33" s="1" t="str">
        <f>IFERROR(__xludf.DUMMYFUNCTION("""COMPUTED_VALUE"""),"Parkin WSU")</f>
        <v>Parkin WSU</v>
      </c>
      <c r="J33" s="1" t="str">
        <f>IFERROR(__xludf.DUMMYFUNCTION("""COMPUTED_VALUE"""),"1 (due   )")</f>
        <v>1 (due   )</v>
      </c>
      <c r="K33" s="5" t="str">
        <f>IFERROR(__xludf.DUMMYFUNCTION("""COMPUTED_VALUE"""),"https://drive.google.com/open?id=1lrjD9Oi2y5BCCqkOmNJpTv3c_soVpcCE")</f>
        <v>https://drive.google.com/open?id=1lrjD9Oi2y5BCCqkOmNJpTv3c_soVpcCE</v>
      </c>
      <c r="L33" s="3" t="s">
        <v>2</v>
      </c>
    </row>
    <row r="34">
      <c r="A34" s="4">
        <f>IFERROR(__xludf.DUMMYFUNCTION("""COMPUTED_VALUE"""),45530.71805214121)</f>
        <v>45530.71805</v>
      </c>
      <c r="B34" s="1" t="str">
        <f>IFERROR(__xludf.DUMMYFUNCTION("""COMPUTED_VALUE"""),"riley.rosalie@gmail.com")</f>
        <v>riley.rosalie@gmail.com</v>
      </c>
      <c r="C34" s="1" t="str">
        <f>IFERROR(__xludf.DUMMYFUNCTION("""COMPUTED_VALUE"""),"Socas, J. et al. (April 2024). “Greasing the Wheels’ of Decarbonization: A Primer on Global Carbon Markets”. Investcorp, https://www.investcorp.com/wp-content/uploads/2024/04/The-Global-Carbon-Markets-April-2024-vF.pdf")</f>
        <v>Socas, J. et al. (April 2024). “Greasing the Wheels’ of Decarbonization: A Primer on Global Carbon Markets”. Investcorp, https://www.investcorp.com/wp-content/uploads/2024/04/The-Global-Carbon-Markets-April-2024-vF.pdf</v>
      </c>
      <c r="D34" s="1" t="str">
        <f>IFERROR(__xludf.DUMMYFUNCTION("""COMPUTED_VALUE"""),"James Socas is the Managing Director and Global Head of Investcorp’s Climate Solutions")</f>
        <v>James Socas is the Managing Director and Global Head of Investcorp’s Climate Solutions</v>
      </c>
      <c r="E34" s="1" t="str">
        <f>IFERROR(__xludf.DUMMYFUNCTION("""COMPUTED_VALUE"""),"AFFIRMATIVE")</f>
        <v>AFFIRMATIVE</v>
      </c>
      <c r="F34" s="1" t="str">
        <f>IFERROR(__xludf.DUMMYFUNCTION("""COMPUTED_VALUE"""),"Emissions Trading")</f>
        <v>Emissions Trading</v>
      </c>
      <c r="G34" s="1" t="str">
        <f>IFERROR(__xludf.DUMMYFUNCTION("""COMPUTED_VALUE"""),"Carbon markets as they currently exist lack enforcement of penalties, are fragmented, and prove the insufficiency of state based approaches – reform to a federal level key, solvency advocate for CT")</f>
        <v>Carbon markets as they currently exist lack enforcement of penalties, are fragmented, and prove the insufficiency of state based approaches – reform to a federal level key, solvency advocate for CT</v>
      </c>
      <c r="H34" s="1"/>
      <c r="I34" s="1" t="str">
        <f>IFERROR(__xludf.DUMMYFUNCTION("""COMPUTED_VALUE"""),"Talamantes WSU")</f>
        <v>Talamantes WSU</v>
      </c>
      <c r="J34" s="1" t="str">
        <f>IFERROR(__xludf.DUMMYFUNCTION("""COMPUTED_VALUE"""),"1 (due   )")</f>
        <v>1 (due   )</v>
      </c>
      <c r="K34" s="5" t="str">
        <f>IFERROR(__xludf.DUMMYFUNCTION("""COMPUTED_VALUE"""),"https://drive.google.com/open?id=1jpGJpbAvcu0CESVSd8zdMkle88VE82yb")</f>
        <v>https://drive.google.com/open?id=1jpGJpbAvcu0CESVSd8zdMkle88VE82yb</v>
      </c>
      <c r="L34" s="3" t="s">
        <v>1</v>
      </c>
    </row>
    <row r="35">
      <c r="A35" s="4">
        <f>IFERROR(__xludf.DUMMYFUNCTION("""COMPUTED_VALUE"""),45530.79784403935)</f>
        <v>45530.79784</v>
      </c>
      <c r="B35" s="1" t="str">
        <f>IFERROR(__xludf.DUMMYFUNCTION("""COMPUTED_VALUE"""),"laurenjohnson10@weber.edu")</f>
        <v>laurenjohnson10@weber.edu</v>
      </c>
      <c r="C35" s="1" t="str">
        <f>IFERROR(__xludf.DUMMYFUNCTION("""COMPUTED_VALUE"""),"Cohen, D., Cha, J., Graetz, N., Singhal, A., Sen, R. (2023) Securing Climate Justice Federally: A Political Economy Approach to Targeted Investments. Environmental Justice, 15(5), 351-359")</f>
        <v>Cohen, D., Cha, J., Graetz, N., Singhal, A., Sen, R. (2023) Securing Climate Justice Federally: A Political Economy Approach to Targeted Investments. Environmental Justice, 15(5), 351-359</v>
      </c>
      <c r="D35" s="1" t="str">
        <f>IFERROR(__xludf.DUMMYFUNCTION("""COMPUTED_VALUE"""),"iversity of California, Berkeley, Berkeley, California, USA. Dr.J. Mijin Cha is an Associate Professor of Urban and Environmental Policy at Occidental College, Los Angeles, California, USA. Dr.Nick Graetz isa postdoctoral scholar in Suciolopy at Princeton"&amp;" University, Princeton, New Jersey, USA. Aaryaman Singhal isa masters student at the Energy Resources Group at University of California, Berkeley, Berkeley, California, USA. Raka Sen is PhD Candidate in Sociology atL niversity of Pennsylvania, Philadelphi"&amp;"a, Pennsylvania, USA.")</f>
        <v>iversity of California, Berkeley, Berkeley, California, USA. Dr.J. Mijin Cha is an Associate Professor of Urban and Environmental Policy at Occidental College, Los Angeles, California, USA. Dr.Nick Graetz isa postdoctoral scholar in Suciolopy at Princeton University, Princeton, New Jersey, USA. Aaryaman Singhal isa masters student at the Energy Resources Group at University of California, Berkeley, Berkeley, California, USA. Raka Sen is PhD Candidate in Sociology atL niversity of Pennsylvania, Philadelphia, Pennsylvania, USA.</v>
      </c>
      <c r="E35" s="1" t="str">
        <f>IFERROR(__xludf.DUMMYFUNCTION("""COMPUTED_VALUE"""),"AFFIRMATIVE")</f>
        <v>AFFIRMATIVE</v>
      </c>
      <c r="F35" s="1" t="str">
        <f>IFERROR(__xludf.DUMMYFUNCTION("""COMPUTED_VALUE"""),"Environmental Justice")</f>
        <v>Environmental Justice</v>
      </c>
      <c r="G35" s="1" t="str">
        <f>IFERROR(__xludf.DUMMYFUNCTION("""COMPUTED_VALUE"""),"a political economy approach to secure climate justice ")</f>
        <v>a political economy approach to secure climate justice </v>
      </c>
      <c r="H35" s="1" t="str">
        <f>IFERROR(__xludf.DUMMYFUNCTION("""COMPUTED_VALUE"""),"How can thefederal Justice40 policy framework tackle climate change and social inequalities at the same time and in the same places‘/ We adopta political economy approach. We situate environmental injustice in the context of long-standing racist patterns "&amp;"of public—primate investments in the United States, especially in housing, through practices such asredlining, transportation. and industrial development. We argue that any policy approach aiming toeliminate cnvironinental racism necds to take on public—p"&amp;"rivate investment patterns at comparable scale. And building on our recent research
into New York State's own efforts to build on the lessons of California’s experience of targeted green investments, and our survey of reports on the Justice40, we make fiv"&amp;"'e broad recommendations to federal policymakers: (l) w'eargue that the Justice40 mandate should apply toa farbroader range of public—private investments than currently planned (and thus allocate tens of billions of dollars annually); (2) we urge thefeder"&amp;"al government nottousetheCalifornia model ofa unilinear scale, and to adopt New York's proposal to count all low-income individuals as eligible for disproportionate investments in green home iinpi‘oveinents; (3) we recommend that the federal government (o"&amp;"rstate governments) take equity stakes in offshore w ind, with revenues being reinvested based on the Justice40 formula; (4) we argue that the federal government must fund community
groups' governance capacity so that they can exert meaningful control ove"&amp;"r local investments; and (5) we call for embedding Justice40 in an overarching framew'ork of green high-road economic
development.")</f>
        <v>How can thefederal Justice40 policy framework tackle climate change and social inequalities at the same time and in the same places‘/ We adopta political economy approach. We situate environmental injustice in the context of long-standing racist patterns of public—primate investments in the United States, especially in housing, through practices such asredlining, transportation. and industrial development. We argue that any policy approach aiming toeliminate cnvironinental racism necds to take on public—private investment patterns at comparable scale. And building on our recent research
into New York State's own efforts to build on the lessons of California’s experience of targeted green investments, and our survey of reports on the Justice40, we make fiv'e broad recommendations to federal policymakers: (l) w'eargue that the Justice40 mandate should apply toa farbroader range of public—private investments than currently planned (and thus allocate tens of billions of dollars annually); (2) we urge thefederal government nottousetheCalifornia model ofa unilinear scale, and to adopt New York's proposal to count all low-income individuals as eligible for disproportionate investments in green home iinpi‘oveinents; (3) we recommend that the federal government (orstate governments) take equity stakes in offshore w ind, with revenues being reinvested based on the Justice40 formula; (4) we argue that the federal government must fund community
groups' governance capacity so that they can exert meaningful control over local investments; and (5) we call for embedding Justice40 in an overarching framew'ork of green high-road economic
development.</v>
      </c>
      <c r="I35" s="1" t="str">
        <f>IFERROR(__xludf.DUMMYFUNCTION("""COMPUTED_VALUE"""),"Johnson WSU")</f>
        <v>Johnson WSU</v>
      </c>
      <c r="J35" s="1" t="str">
        <f>IFERROR(__xludf.DUMMYFUNCTION("""COMPUTED_VALUE"""),"1 (due   )")</f>
        <v>1 (due   )</v>
      </c>
      <c r="K35" s="5" t="str">
        <f>IFERROR(__xludf.DUMMYFUNCTION("""COMPUTED_VALUE"""),"https://drive.google.com/open?id=1kiLoUhljL7g55ZZDTYH1ZwXATw5ZZAb6")</f>
        <v>https://drive.google.com/open?id=1kiLoUhljL7g55ZZDTYH1ZwXATw5ZZAb6</v>
      </c>
      <c r="L35" s="3" t="s">
        <v>1</v>
      </c>
    </row>
    <row r="36">
      <c r="A36" s="4">
        <f>IFERROR(__xludf.DUMMYFUNCTION("""COMPUTED_VALUE"""),45530.78463017361)</f>
        <v>45530.78463</v>
      </c>
      <c r="B36" s="1" t="str">
        <f>IFERROR(__xludf.DUMMYFUNCTION("""COMPUTED_VALUE"""),"laurenjohnson10@weber.edu")</f>
        <v>laurenjohnson10@weber.edu</v>
      </c>
      <c r="C36" s="1" t="str">
        <f>IFERROR(__xludf.DUMMYFUNCTION("""COMPUTED_VALUE"""),"Lejano, R., Shan Kan, W.,Chit Chau, C., (2020). The Hidden Disequities of Carbon Trading: Carbon Emissions, Air Toxics, And Environmental Justice ")</f>
        <v>Lejano, R., Shan Kan, W.,Chit Chau, C., (2020). The Hidden Disequities of Carbon Trading: Carbon Emissions, Air Toxics, And Environmental Justice </v>
      </c>
      <c r="D36" s="1" t="str">
        <f>IFERROR(__xludf.DUMMYFUNCTION("""COMPUTED_VALUE"""),"Raul P. Lejano: School of Culture, Education, and Human Development, New York University, New York, NY, United States. Wing Shan Kan:Felizberta Lo Padilla Tong School of Social Science, Caritas Institute of Higher Education, Tseung Kwan O, Hong Kong. Chin"&amp;"g Chit Chau:Salvation Army, Kowloon, Hong Kong")</f>
        <v>Raul P. Lejano: School of Culture, Education, and Human Development, New York University, New York, NY, United States. Wing Shan Kan:Felizberta Lo Padilla Tong School of Social Science, Caritas Institute of Higher Education, Tseung Kwan O, Hong Kong. Ching Chit Chau:Salvation Army, Kowloon, Hong Kong</v>
      </c>
      <c r="E36" s="1" t="str">
        <f>IFERROR(__xludf.DUMMYFUNCTION("""COMPUTED_VALUE"""),"MIXED")</f>
        <v>MIXED</v>
      </c>
      <c r="F36" s="1" t="str">
        <f>IFERROR(__xludf.DUMMYFUNCTION("""COMPUTED_VALUE"""),"Environmental Justice ")</f>
        <v>Environmental Justice </v>
      </c>
      <c r="G36" s="1" t="str">
        <f>IFERROR(__xludf.DUMMYFUNCTION("""COMPUTED_VALUE"""),"Critiques the socially unjust consequences of trading carbon, such as the creation of toxic hotspots. Examines California's cap-and-trade program ")</f>
        <v>Critiques the socially unjust consequences of trading carbon, such as the creation of toxic hotspots. Examines California's cap-and-trade program </v>
      </c>
      <c r="H36" s="1" t="str">
        <f>IFERROR(__xludf.DUMMYFUNCTION("""COMPUTED_VALUE"""),"So long as transaction costs are low, the creation of a tradeable permit to emit carbon
should allow bargaining for emission rights among buyers and sellers, resulting in an
efficient allocation of carbon emission rights. However, the trading of carbon cr"&amp;"edits
may have socially unjust consequences. In this article, we explore some hitherto
unrecognized disequities. One of these may be the creation of toxic hotspots as the
trade of carbon may bring with it a transfer of air toxics, as well. We illustrate t"&amp;"he
argument by examining emissions from refineries participating in California’s cap-andtrade program. These considerations are a concern for the larger question of carbon
mitigation as the global community strives to identify feasible, yet just, approach"&amp;"es to
reducing greenhouse gas emissions. Contrary to the idea of alienable rights, the transfer
of carbon affects people and place in ways not internalized by these market instruments.")</f>
        <v>So long as transaction costs are low, the creation of a tradeable permit to emit carbon
should allow bargaining for emission rights among buyers and sellers, resulting in an
efficient allocation of carbon emission rights. However, the trading of carbon credits
may have socially unjust consequences. In this article, we explore some hitherto
unrecognized disequities. One of these may be the creation of toxic hotspots as the
trade of carbon may bring with it a transfer of air toxics, as well. We illustrate the
argument by examining emissions from refineries participating in California’s cap-andtrade program. These considerations are a concern for the larger question of carbon
mitigation as the global community strives to identify feasible, yet just, approaches to
reducing greenhouse gas emissions. Contrary to the idea of alienable rights, the transfer
of carbon affects people and place in ways not internalized by these market instruments.</v>
      </c>
      <c r="I36" s="1" t="str">
        <f>IFERROR(__xludf.DUMMYFUNCTION("""COMPUTED_VALUE"""),"Johnson WSU")</f>
        <v>Johnson WSU</v>
      </c>
      <c r="J36" s="1" t="str">
        <f>IFERROR(__xludf.DUMMYFUNCTION("""COMPUTED_VALUE"""),"1 (due   )")</f>
        <v>1 (due   )</v>
      </c>
      <c r="K36" s="5" t="str">
        <f>IFERROR(__xludf.DUMMYFUNCTION("""COMPUTED_VALUE"""),"https://drive.google.com/open?id=1dj5-5SToWsWK_RRMfNn_8VePz3pHI1FH")</f>
        <v>https://drive.google.com/open?id=1dj5-5SToWsWK_RRMfNn_8VePz3pHI1FH</v>
      </c>
      <c r="L36" s="3" t="s">
        <v>2</v>
      </c>
    </row>
    <row r="37">
      <c r="A37" s="4">
        <f>IFERROR(__xludf.DUMMYFUNCTION("""COMPUTED_VALUE"""),45530.80286809028)</f>
        <v>45530.80287</v>
      </c>
      <c r="B37" s="1" t="str">
        <f>IFERROR(__xludf.DUMMYFUNCTION("""COMPUTED_VALUE"""),"laurenjohnson10@weber.edu")</f>
        <v>laurenjohnson10@weber.edu</v>
      </c>
      <c r="C37" s="1" t="str">
        <f>IFERROR(__xludf.DUMMYFUNCTION("""COMPUTED_VALUE"""),"Martinez-Alier, J. (2023). The United States: the cradle of environmental justice against racism, Political Science and Public Policy (2023), Chapter 24, 534-559")</f>
        <v>Martinez-Alier, J. (2023). The United States: the cradle of environmental justice against racism, Political Science and Public Policy (2023), Chapter 24, 534-559</v>
      </c>
      <c r="D37" s="1" t="str">
        <f>IFERROR(__xludf.DUMMYFUNCTION("""COMPUTED_VALUE"""),"Researcher at the Institute of Environmental Science and Technology of Barcelona ")</f>
        <v>Researcher at the Institute of Environmental Science and Technology of Barcelona </v>
      </c>
      <c r="E37" s="1" t="str">
        <f>IFERROR(__xludf.DUMMYFUNCTION("""COMPUTED_VALUE"""),"MIXED")</f>
        <v>MIXED</v>
      </c>
      <c r="F37" s="1" t="str">
        <f>IFERROR(__xludf.DUMMYFUNCTION("""COMPUTED_VALUE"""),"Environmental Justice ")</f>
        <v>Environmental Justice </v>
      </c>
      <c r="G37" s="1" t="str">
        <f>IFERROR(__xludf.DUMMYFUNCTION("""COMPUTED_VALUE"""),"history of the environmental justice movement against environmental racisms in the US")</f>
        <v>history of the environmental justice movement against environmental racisms in the US</v>
      </c>
      <c r="H37" s="1" t="str">
        <f>IFERROR(__xludf.DUMMYFUNCTION("""COMPUTED_VALUE"""),"Environmental conflicts arise against environmental racism in pollution cases in Cancer Alley or lead contamination of the water supply at Flint and Marathon Oil in Detroit. The chapter also explores complaints against pipelines and Blockadia movements, t"&amp;"he Deep Horizon disaster, and the Chevron refinery in Richmond, California. Then the injustice of uranium mining in Navajo territory, nuclear waste dumping in Hanford in Washington state, and the conflict on Yucca Mountain in Nevada. In several of these c"&amp;"omplaints, both Afro-Americans and Indigenous and Hispanic communities take the leading roles. Dangerous chemicals, agricultural pesticides, the oil and gas industry and its refineries and pipelines, the coal-burning sector, metal and uranium mining, nucl"&amp;"ear waste, land grabbing, water use, and claims for urban space for pedestrians and cyclists are at the centre of the conflicts. Conflicts show disparate valuing languages that are not commensurate.")</f>
        <v>Environmental conflicts arise against environmental racism in pollution cases in Cancer Alley or lead contamination of the water supply at Flint and Marathon Oil in Detroit. The chapter also explores complaints against pipelines and Blockadia movements, the Deep Horizon disaster, and the Chevron refinery in Richmond, California. Then the injustice of uranium mining in Navajo territory, nuclear waste dumping in Hanford in Washington state, and the conflict on Yucca Mountain in Nevada. In several of these complaints, both Afro-Americans and Indigenous and Hispanic communities take the leading roles. Dangerous chemicals, agricultural pesticides, the oil and gas industry and its refineries and pipelines, the coal-burning sector, metal and uranium mining, nuclear waste, land grabbing, water use, and claims for urban space for pedestrians and cyclists are at the centre of the conflicts. Conflicts show disparate valuing languages that are not commensurate.</v>
      </c>
      <c r="I37" s="1" t="str">
        <f>IFERROR(__xludf.DUMMYFUNCTION("""COMPUTED_VALUE"""),"Johnson WSU")</f>
        <v>Johnson WSU</v>
      </c>
      <c r="J37" s="1" t="str">
        <f>IFERROR(__xludf.DUMMYFUNCTION("""COMPUTED_VALUE"""),"1 (due   )")</f>
        <v>1 (due   )</v>
      </c>
      <c r="K37" s="5" t="str">
        <f>IFERROR(__xludf.DUMMYFUNCTION("""COMPUTED_VALUE"""),"https://drive.google.com/open?id=1WRmF6Ge61VqwfCPE0XaVQh30NO0MRTYB")</f>
        <v>https://drive.google.com/open?id=1WRmF6Ge61VqwfCPE0XaVQh30NO0MRTYB</v>
      </c>
      <c r="L37" s="3" t="s">
        <v>2</v>
      </c>
    </row>
    <row r="38">
      <c r="A38" s="4">
        <f>IFERROR(__xludf.DUMMYFUNCTION("""COMPUTED_VALUE"""),45530.80929048611)</f>
        <v>45530.80929</v>
      </c>
      <c r="B38" s="1" t="str">
        <f>IFERROR(__xludf.DUMMYFUNCTION("""COMPUTED_VALUE"""),"laurenjohnson10@weber.edu")</f>
        <v>laurenjohnson10@weber.edu</v>
      </c>
      <c r="C38" s="1" t="str">
        <f>IFERROR(__xludf.DUMMYFUNCTION("""COMPUTED_VALUE"""),"Donaghy, T., Healy, N., Jiang, C., Battle, C. (2023). Fossil fuel racism in the United States: How phasing out coal, oil, and gas can protect communities. Energy Research &amp; Social Science")</f>
        <v>Donaghy, T., Healy, N., Jiang, C., Battle, C. (2023). Fossil fuel racism in the United States: How phasing out coal, oil, and gas can protect communities. Energy Research &amp; Social Science</v>
      </c>
      <c r="D38" s="1" t="str">
        <f>IFERROR(__xludf.DUMMYFUNCTION("""COMPUTED_VALUE"""),"Timothy Donaghy: Greenpeace. Noel Healy: Department of Geography Salem State University. Charles Jiang: Yale Law. Colette Pichon Battle: Taproot Earth")</f>
        <v>Timothy Donaghy: Greenpeace. Noel Healy: Department of Geography Salem State University. Charles Jiang: Yale Law. Colette Pichon Battle: Taproot Earth</v>
      </c>
      <c r="E38" s="1" t="str">
        <f>IFERROR(__xludf.DUMMYFUNCTION("""COMPUTED_VALUE"""),"MIXED")</f>
        <v>MIXED</v>
      </c>
      <c r="F38" s="1" t="str">
        <f>IFERROR(__xludf.DUMMYFUNCTION("""COMPUTED_VALUE"""),"Environmental Justice ")</f>
        <v>Environmental Justice </v>
      </c>
      <c r="G38" s="1" t="str">
        <f>IFERROR(__xludf.DUMMYFUNCTION("""COMPUTED_VALUE"""),"systemic racism subsidizes the fossil fuel industry by enabling it to externalize the costs of pollution and environmental degradation onto communities of color")</f>
        <v>systemic racism subsidizes the fossil fuel industry by enabling it to externalize the costs of pollution and environmental degradation onto communities of color</v>
      </c>
      <c r="H38" s="1" t="str">
        <f>IFERROR(__xludf.DUMMYFUNCTION("""COMPUTED_VALUE"""),"Fossil fuels — coal, oil, and gas — lie at the heart of the interconnected crises we face, including climate change,
racial injustice, and public health. Each stage of the fossil fuel life cycle — extraction, processing, transport, and
combustion — genera"&amp;"tes toxic air and water pollution, as well as greenhouse gas (GHGs) emissions that drive the
global climate crisis. Addressing the harmful effects of energy decisions, including unequal risk distribution
across various governance levels, supply chains, an"&amp;"d political jurisdictions, is a complex task for policymakers
and society. A deeper understanding of how harms are embodied within fossil fuel life cycles is needed. This
paper provides a narrative review of recent studies within the United States (U.S.) "&amp;"that document both public
health harms and disproportionate impacts along the fossil fuel life cycle. In the U.S. the public health hazards
from air and water pollution, and risks associated with climate change, fall disproportionately on Black, Brown,
In"&amp;"digenous, and poor communities. “Sacrifice zones” and systemic racism are deeply intertwined within the
fossil-fuel based economy. We argue systemic racism subsidizes the fossil fuel industry by enabling it to externalize the costs of pollution and enviro"&amp;"nmental degradation onto communities of color. We position “fossil fuel
racism” as a subset of environmental racism and argue that this framing is useful because it shifts analytical and
political focus to the systems and structures which are actively pro"&amp;"tecting and promoting continued production of
fossil fuels. We discuss the implications of this body of research for climate policy, and outline how poorly
designed “carbon-centric” policies—which focus narrowly on GHGs reduction—could fail to alleviate t"&amp;"he racialized disparities or potentially worsen it for some communities. We emphasize the need to move beyond
carbon-centric approaches to climate solutions to more integrative approaches to policy design that can improve
public health, tackle the global "&amp;"climate crisis, and rectify our legacy of fossil fuel racism. Specifically we call for a
managed phase out of fossil fuel production and the enactment of wider programs of social, economic, and
democratic reforms via a Green New Deal. Adequately addressin"&amp;"g the climate crisis and fossil fuel racism require
political and policy solutions that disrupt the power and actions of the fossil fuel industry and their state allies")</f>
        <v>Fossil fuels — coal, oil, and gas — lie at the heart of the interconnected crises we face, including climate change,
racial injustice, and public health. Each stage of the fossil fuel life cycle — extraction, processing, transport, and
combustion — generates toxic air and water pollution, as well as greenhouse gas (GHGs) emissions that drive the
global climate crisis. Addressing the harmful effects of energy decisions, including unequal risk distribution
across various governance levels, supply chains, and political jurisdictions, is a complex task for policymakers
and society. A deeper understanding of how harms are embodied within fossil fuel life cycles is needed. This
paper provides a narrative review of recent studies within the United States (U.S.) that document both public
health harms and disproportionate impacts along the fossil fuel life cycle. In the U.S. the public health hazards
from air and water pollution, and risks associated with climate change, fall disproportionately on Black, Brown,
Indigenous, and poor communities. “Sacrifice zones” and systemic racism are deeply intertwined within the
fossil-fuel based economy. We argue systemic racism subsidizes the fossil fuel industry by enabling it to externalize the costs of pollution and environmental degradation onto communities of color. We position “fossil fuel
racism” as a subset of environmental racism and argue that this framing is useful because it shifts analytical and
political focus to the systems and structures which are actively protecting and promoting continued production of
fossil fuels. We discuss the implications of this body of research for climate policy, and outline how poorly
designed “carbon-centric” policies—which focus narrowly on GHGs reduction—could fail to alleviate the racialized disparities or potentially worsen it for some communities. We emphasize the need to move beyond
carbon-centric approaches to climate solutions to more integrative approaches to policy design that can improve
public health, tackle the global climate crisis, and rectify our legacy of fossil fuel racism. Specifically we call for a
managed phase out of fossil fuel production and the enactment of wider programs of social, economic, and
democratic reforms via a Green New Deal. Adequately addressing the climate crisis and fossil fuel racism require
political and policy solutions that disrupt the power and actions of the fossil fuel industry and their state allies</v>
      </c>
      <c r="I38" s="1" t="str">
        <f>IFERROR(__xludf.DUMMYFUNCTION("""COMPUTED_VALUE"""),"Johnson WSU")</f>
        <v>Johnson WSU</v>
      </c>
      <c r="J38" s="1" t="str">
        <f>IFERROR(__xludf.DUMMYFUNCTION("""COMPUTED_VALUE"""),"1 (due   )")</f>
        <v>1 (due   )</v>
      </c>
      <c r="K38" s="5" t="str">
        <f>IFERROR(__xludf.DUMMYFUNCTION("""COMPUTED_VALUE"""),"https://drive.google.com/open?id=1BhHL5YMjib4zroBrTlpmqZqtkwTgy4I_")</f>
        <v>https://drive.google.com/open?id=1BhHL5YMjib4zroBrTlpmqZqtkwTgy4I_</v>
      </c>
      <c r="L38" s="3" t="s">
        <v>1</v>
      </c>
    </row>
    <row r="39">
      <c r="A39" s="4">
        <f>IFERROR(__xludf.DUMMYFUNCTION("""COMPUTED_VALUE"""),45530.63880777778)</f>
        <v>45530.63881</v>
      </c>
      <c r="B39" s="1" t="str">
        <f>IFERROR(__xludf.DUMMYFUNCTION("""COMPUTED_VALUE"""),"korry.harvey@gmail.com")</f>
        <v>korry.harvey@gmail.com</v>
      </c>
      <c r="C39" s="1" t="str">
        <f>IFERROR(__xludf.DUMMYFUNCTION("""COMPUTED_VALUE"""),"Karain, R. (2020) Federalism as a double-edged sword: The slow energy transition in the United States, The Journal of Environment &amp; Development , 29(1), pp. 26-50.")</f>
        <v>Karain, R. (2020) Federalism as a double-edged sword: The slow energy transition in the United States, The Journal of Environment &amp; Development , 29(1), pp. 26-50.</v>
      </c>
      <c r="D39" s="1" t="str">
        <f>IFERROR(__xludf.DUMMYFUNCTION("""COMPUTED_VALUE"""),"Roger Karapin is a Professor of Political Science at Hunter College and the Graduate Center, City University of New York.  ")</f>
        <v>Roger Karapin is a Professor of Political Science at Hunter College and the Graduate Center, City University of New York.  </v>
      </c>
      <c r="E39" s="1" t="str">
        <f>IFERROR(__xludf.DUMMYFUNCTION("""COMPUTED_VALUE"""),"AFFIRMATIVE")</f>
        <v>AFFIRMATIVE</v>
      </c>
      <c r="F39" s="1" t="str">
        <f>IFERROR(__xludf.DUMMYFUNCTION("""COMPUTED_VALUE"""),"Federalism DA/CP")</f>
        <v>Federalism DA/CP</v>
      </c>
      <c r="G39" s="1" t="str">
        <f>IFERROR(__xludf.DUMMYFUNCTION("""COMPUTED_VALUE"""),"Thorough defense of state authority in energy policy. Offers evidence for a Federalism DA and/or States CP")</f>
        <v>Thorough defense of state authority in energy policy. Offers evidence for a Federalism DA and/or States CP</v>
      </c>
      <c r="H39" s="1" t="str">
        <f>IFERROR(__xludf.DUMMYFUNCTION("""COMPUTED_VALUE"""),"Much literature on federalism and multilevel governance argues that federalist institutional arrangements promote renewable energy policies. However, the U.S. case
supports a different view that federalism has ambivalent effects. Policy innovation has
occ"&amp;"urred at the state level and to some extent has led to policy adoption by other
states and the federal government, but the extent is limited by the veto power of
fossil fuel interests that are rooted in many state governments and in Congress,
buttressed b"&amp;"y increasing Republican Party hostility to environmental and climate
policy. This argument is supported by a detailed analysis of five periods of federal
and state renewable energy policy-making, from the Carter to the Trump administrations. The negative "&amp;"effects of federalism on national renewable energy policy in
the United States, in contrast to the West European cases in this special issue, are
mainly due to the interaction of its federalist institutions with party polarization and
a strong domestic fo"&amp;"ssil fuel industry.")</f>
        <v>Much literature on federalism and multilevel governance argues that federalist institutional arrangements promote renewable energy policies. However, the U.S. case
supports a different view that federalism has ambivalent effects. Policy innovation has
occurred at the state level and to some extent has led to policy adoption by other
states and the federal government, but the extent is limited by the veto power of
fossil fuel interests that are rooted in many state governments and in Congress,
buttressed by increasing Republican Party hostility to environmental and climate
policy. This argument is supported by a detailed analysis of five periods of federal
and state renewable energy policy-making, from the Carter to the Trump administrations. The negative effects of federalism on national renewable energy policy in
the United States, in contrast to the West European cases in this special issue, are
mainly due to the interaction of its federalist institutions with party polarization and
a strong domestic fossil fuel industry.</v>
      </c>
      <c r="I39" s="1" t="str">
        <f>IFERROR(__xludf.DUMMYFUNCTION("""COMPUTED_VALUE"""),"Harvey WWU")</f>
        <v>Harvey WWU</v>
      </c>
      <c r="J39" s="1" t="str">
        <f>IFERROR(__xludf.DUMMYFUNCTION("""COMPUTED_VALUE"""),"1 (due   )")</f>
        <v>1 (due   )</v>
      </c>
      <c r="K39" s="5" t="str">
        <f>IFERROR(__xludf.DUMMYFUNCTION("""COMPUTED_VALUE"""),"https://drive.google.com/open?id=1bYHRWAVCHpu0tj5_rI5Uv23QMWn6_3ec")</f>
        <v>https://drive.google.com/open?id=1bYHRWAVCHpu0tj5_rI5Uv23QMWn6_3ec</v>
      </c>
      <c r="L39" s="3" t="s">
        <v>2</v>
      </c>
    </row>
    <row r="40">
      <c r="A40" s="4">
        <f>IFERROR(__xludf.DUMMYFUNCTION("""COMPUTED_VALUE"""),45530.68604027778)</f>
        <v>45530.68604</v>
      </c>
      <c r="B40" s="1" t="str">
        <f>IFERROR(__xludf.DUMMYFUNCTION("""COMPUTED_VALUE"""),"korry.harvey@gmail.com")</f>
        <v>korry.harvey@gmail.com</v>
      </c>
      <c r="C40" s="1" t="str">
        <f>IFERROR(__xludf.DUMMYFUNCTION("""COMPUTED_VALUE"""),"Patniak, S., Sud, R., &amp; Glicksman, R. (2023). How to reform Federal permitting to accelerate clean energy infrastructure: A nonpartisan way forward, Brookings Institute Center on Regulation and Markets. Retrieved from https://www.brookings.edu/wp-content/"&amp;"uploads/2023/02/20230213_CRM_Patnaik_Permitting_FINAL.pdf ")</f>
        <v>Patniak, S., Sud, R., &amp; Glicksman, R. (2023). How to reform Federal permitting to accelerate clean energy infrastructure: A nonpartisan way forward, Brookings Institute Center on Regulation and Markets. Retrieved from https://www.brookings.edu/wp-content/uploads/2023/02/20230213_CRM_Patnaik_Permitting_FINAL.pdf </v>
      </c>
      <c r="D40" s="1" t="str">
        <f>IFERROR(__xludf.DUMMYFUNCTION("""COMPUTED_VALUE"""),"Sanjay Patniak is the Director of the Center on Regulations and Markets at the Brookings Institute and Senior Fellow in Economic Studies; Rayan Sud is a Research Assistant for the Center on Regulations and Markets at the Brookings Institute, M.S. in Manag"&amp;"ement Science and Engineering from Stanford; Robert Glicksman is the J. B. and Maurice C. Shapiro Professor of Environmental Law at the George Washington University Law School.")</f>
        <v>Sanjay Patniak is the Director of the Center on Regulations and Markets at the Brookings Institute and Senior Fellow in Economic Studies; Rayan Sud is a Research Assistant for the Center on Regulations and Markets at the Brookings Institute, M.S. in Management Science and Engineering from Stanford; Robert Glicksman is the J. B. and Maurice C. Shapiro Professor of Environmental Law at the George Washington University Law School.</v>
      </c>
      <c r="E40" s="1" t="str">
        <f>IFERROR(__xludf.DUMMYFUNCTION("""COMPUTED_VALUE"""),"AFFIRMATIVE")</f>
        <v>AFFIRMATIVE</v>
      </c>
      <c r="F40" s="1" t="str">
        <f>IFERROR(__xludf.DUMMYFUNCTION("""COMPUTED_VALUE"""),"Federalism/States")</f>
        <v>Federalism/States</v>
      </c>
      <c r="G40" s="1" t="str">
        <f>IFERROR(__xludf.DUMMYFUNCTION("""COMPUTED_VALUE"""),"Offers defense of federal authority in energy policy, including evidence to support answers to a Federalism DA and/or States CP.")</f>
        <v>Offers defense of federal authority in energy policy, including evidence to support answers to a Federalism DA and/or States CP.</v>
      </c>
      <c r="H40" s="1" t="str">
        <f>IFERROR(__xludf.DUMMYFUNCTION("""COMPUTED_VALUE"""),"In this article, we provide an analysis of the specific points of delay within the federal permitting process for clean energy infrastructure. We then discuss six major areas of potential reform, including evaluations of existing reform provisions on the "&amp;"table, such as Senator Manchin’s proposed legislation. In each area, we provide policy options that would make a significant impact on shortening permitting timelines, avoid affecting the integrity of environmental review, and attract support across the p"&amp;"olitical spectrum. We conclude with 
options for permitting reform at the local and state levels, both of which have important planning and compliance roles in clean energy infrastructure development, making them critical pieces of the puzzle. Below are t"&amp;"he highlights of the policy options we present.")</f>
        <v>In this article, we provide an analysis of the specific points of delay within the federal permitting process for clean energy infrastructure. We then discuss six major areas of potential reform, including evaluations of existing reform provisions on the table, such as Senator Manchin’s proposed legislation. In each area, we provide policy options that would make a significant impact on shortening permitting timelines, avoid affecting the integrity of environmental review, and attract support across the political spectrum. We conclude with 
options for permitting reform at the local and state levels, both of which have important planning and compliance roles in clean energy infrastructure development, making them critical pieces of the puzzle. Below are the highlights of the policy options we present.</v>
      </c>
      <c r="I40" s="1" t="str">
        <f>IFERROR(__xludf.DUMMYFUNCTION("""COMPUTED_VALUE"""),"Harvey WWU")</f>
        <v>Harvey WWU</v>
      </c>
      <c r="J40" s="1" t="str">
        <f>IFERROR(__xludf.DUMMYFUNCTION("""COMPUTED_VALUE"""),"1 (due   )")</f>
        <v>1 (due   )</v>
      </c>
      <c r="K40" s="5" t="str">
        <f>IFERROR(__xludf.DUMMYFUNCTION("""COMPUTED_VALUE"""),"https://drive.google.com/open?id=1h6eDrsVd9NfI-CKigHQBc6xr92OIVZ9T")</f>
        <v>https://drive.google.com/open?id=1h6eDrsVd9NfI-CKigHQBc6xr92OIVZ9T</v>
      </c>
      <c r="L40" s="3" t="s">
        <v>2</v>
      </c>
    </row>
    <row r="41">
      <c r="A41" s="4">
        <f>IFERROR(__xludf.DUMMYFUNCTION("""COMPUTED_VALUE"""),45530.69087908565)</f>
        <v>45530.69088</v>
      </c>
      <c r="B41" s="1" t="str">
        <f>IFERROR(__xludf.DUMMYFUNCTION("""COMPUTED_VALUE"""),"korry.harvey@gmail.com")</f>
        <v>korry.harvey@gmail.com</v>
      </c>
      <c r="C41" s="1" t="str">
        <f>IFERROR(__xludf.DUMMYFUNCTION("""COMPUTED_VALUE"""),"Stokes, D. (2022). Renewable energy federalism. Minnesota Law Review, 106(4), 1757-1826.")</f>
        <v>Stokes, D. (2022). Renewable energy federalism. Minnesota Law Review, 106(4), 1757-1826.</v>
      </c>
      <c r="D41" s="1" t="str">
        <f>IFERROR(__xludf.DUMMYFUNCTION("""COMPUTED_VALUE"""),"Danielle Stokes is an Assistant Professor, University of Richmond School of Law")</f>
        <v>Danielle Stokes is an Assistant Professor, University of Richmond School of Law</v>
      </c>
      <c r="E41" s="1" t="str">
        <f>IFERROR(__xludf.DUMMYFUNCTION("""COMPUTED_VALUE"""),"AFFIRMATIVE")</f>
        <v>AFFIRMATIVE</v>
      </c>
      <c r="F41" s="1" t="str">
        <f>IFERROR(__xludf.DUMMYFUNCTION("""COMPUTED_VALUE"""),"Federalism/States")</f>
        <v>Federalism/States</v>
      </c>
      <c r="G41" s="1" t="str">
        <f>IFERROR(__xludf.DUMMYFUNCTION("""COMPUTED_VALUE"""),"Offers strong defense of federal/nationalized approach to energy policy, with answers to a Federalism DA/States CP.")</f>
        <v>Offers strong defense of federal/nationalized approach to energy policy, with answers to a Federalism DA/States CP.</v>
      </c>
      <c r="H41" s="1" t="str">
        <f>IFERROR(__xludf.DUMMYFUNCTION("""COMPUTED_VALUE"""),"This Article argues for centralized planning for the location of new renewable installations, coordination of planning and siting,2 and administrative permitting of siting-all at the federal level. While this solution would not wholly displace traditional"&amp;" state and local land use control, it would substantially transform the existing allocation of powers over energy development. By focusing specifically on utility-scale3 renewable energy project siting, this Article examines the geographical and political"&amp;" aspects of siting, federalism values, as well as the role of effective zoning and land use planning in mitigating climate change.")</f>
        <v>This Article argues for centralized planning for the location of new renewable installations, coordination of planning and siting,2 and administrative permitting of siting-all at the federal level. While this solution would not wholly displace traditional state and local land use control, it would substantially transform the existing allocation of powers over energy development. By focusing specifically on utility-scale3 renewable energy project siting, this Article examines the geographical and political aspects of siting, federalism values, as well as the role of effective zoning and land use planning in mitigating climate change.</v>
      </c>
      <c r="I41" s="1" t="str">
        <f>IFERROR(__xludf.DUMMYFUNCTION("""COMPUTED_VALUE"""),"Harvey WWU")</f>
        <v>Harvey WWU</v>
      </c>
      <c r="J41" s="1" t="str">
        <f>IFERROR(__xludf.DUMMYFUNCTION("""COMPUTED_VALUE"""),"1 (due   )")</f>
        <v>1 (due   )</v>
      </c>
      <c r="K41" s="5" t="str">
        <f>IFERROR(__xludf.DUMMYFUNCTION("""COMPUTED_VALUE"""),"https://drive.google.com/open?id=1iao7_7QBS1CmXuCdxIR9gePVsO3cyuRj")</f>
        <v>https://drive.google.com/open?id=1iao7_7QBS1CmXuCdxIR9gePVsO3cyuRj</v>
      </c>
      <c r="L41" s="3" t="s">
        <v>2</v>
      </c>
    </row>
    <row r="42">
      <c r="A42" s="4">
        <f>IFERROR(__xludf.DUMMYFUNCTION("""COMPUTED_VALUE"""),45530.702262743056)</f>
        <v>45530.70226</v>
      </c>
      <c r="B42" s="1" t="str">
        <f>IFERROR(__xludf.DUMMYFUNCTION("""COMPUTED_VALUE"""),"korry.harvey@gmail.com")</f>
        <v>korry.harvey@gmail.com</v>
      </c>
      <c r="C42" s="1" t="str">
        <f>IFERROR(__xludf.DUMMYFUNCTION("""COMPUTED_VALUE"""),"Gross, S. (2020). Renewables, land use, and local opposition in the United States, Brookings Institute Foreign Policy. Retrieved from https://www.brookings.edu/articles/renewables-land-use-and-local-opposition-in-the-united-states/")</f>
        <v>Gross, S. (2020). Renewables, land use, and local opposition in the United States, Brookings Institute Foreign Policy. Retrieved from https://www.brookings.edu/articles/renewables-land-use-and-local-opposition-in-the-united-states/</v>
      </c>
      <c r="D42" s="1" t="str">
        <f>IFERROR(__xludf.DUMMYFUNCTION("""COMPUTED_VALUE"""),"Samantha Gross is the Director of the Energy Security and Climate Initiative at the Brookings Institute.")</f>
        <v>Samantha Gross is the Director of the Energy Security and Climate Initiative at the Brookings Institute.</v>
      </c>
      <c r="E42" s="1" t="str">
        <f>IFERROR(__xludf.DUMMYFUNCTION("""COMPUTED_VALUE"""),"NEGATIVE")</f>
        <v>NEGATIVE</v>
      </c>
      <c r="F42" s="1" t="str">
        <f>IFERROR(__xludf.DUMMYFUNCTION("""COMPUTED_VALUE"""),"Federalism/States")</f>
        <v>Federalism/States</v>
      </c>
      <c r="G42" s="1" t="str">
        <f>IFERROR(__xludf.DUMMYFUNCTION("""COMPUTED_VALUE"""),"Offers defense of state and local authority in energy policy, particularly with regard to avoiding local opposition. Includes same case Neg against renewables (which serve as links to a Federalism DA.")</f>
        <v>Offers defense of state and local authority in energy policy, particularly with regard to avoiding local opposition. Includes same case Neg against renewables (which serve as links to a Federalism DA.</v>
      </c>
      <c r="H42" s="1" t="str">
        <f>IFERROR(__xludf.DUMMYFUNCTION("""COMPUTED_VALUE"""),"Achieving U.S. and global goals for decarbonization will require cooperation across levels of government. At the national level, it’s easy to see how particular projects are in the public interest, but often the benefits of these projects accrue nationall"&amp;"y or globally, while the land use impacts are local. This problem is similar to the larger climate problem — getting people to make local sacrifices for the greater good is always a challenge. A number of specific policies can make siting and land use dec"&amp;"isions easier. None of these policies is a panacea, but a combination of policies can increase collaboration and minimize community resistance to development. ")</f>
        <v>Achieving U.S. and global goals for decarbonization will require cooperation across levels of government. At the national level, it’s easy to see how particular projects are in the public interest, but often the benefits of these projects accrue nationally or globally, while the land use impacts are local. This problem is similar to the larger climate problem — getting people to make local sacrifices for the greater good is always a challenge. A number of specific policies can make siting and land use decisions easier. None of these policies is a panacea, but a combination of policies can increase collaboration and minimize community resistance to development. </v>
      </c>
      <c r="I42" s="1" t="str">
        <f>IFERROR(__xludf.DUMMYFUNCTION("""COMPUTED_VALUE"""),"Harvey WWU")</f>
        <v>Harvey WWU</v>
      </c>
      <c r="J42" s="1" t="str">
        <f>IFERROR(__xludf.DUMMYFUNCTION("""COMPUTED_VALUE"""),"1 (due   )")</f>
        <v>1 (due   )</v>
      </c>
      <c r="K42" s="5" t="str">
        <f>IFERROR(__xludf.DUMMYFUNCTION("""COMPUTED_VALUE"""),"https://drive.google.com/open?id=1jWlmBq_8uBFxzUFHqXWsPHz95MmznlsR")</f>
        <v>https://drive.google.com/open?id=1jWlmBq_8uBFxzUFHqXWsPHz95MmznlsR</v>
      </c>
      <c r="L42" s="3" t="s">
        <v>2</v>
      </c>
    </row>
    <row r="43">
      <c r="A43" s="4">
        <f>IFERROR(__xludf.DUMMYFUNCTION("""COMPUTED_VALUE"""),45530.70870179398)</f>
        <v>45530.7087</v>
      </c>
      <c r="B43" s="1" t="str">
        <f>IFERROR(__xludf.DUMMYFUNCTION("""COMPUTED_VALUE"""),"korry.harvey@gmail.com")</f>
        <v>korry.harvey@gmail.com</v>
      </c>
      <c r="C43" s="1" t="str">
        <f>IFERROR(__xludf.DUMMYFUNCTION("""COMPUTED_VALUE"""),"Lyons, D. (2018). Protecting states in the new world of energy federalism, Emory Law Journal, 67(5), pp. 921-972.")</f>
        <v>Lyons, D. (2018). Protecting states in the new world of energy federalism, Emory Law Journal, 67(5), pp. 921-972.</v>
      </c>
      <c r="D43" s="1" t="str">
        <f>IFERROR(__xludf.DUMMYFUNCTION("""COMPUTED_VALUE"""),"Daniel Lyons is an Associate Professor of Law at Boston College Law School")</f>
        <v>Daniel Lyons is an Associate Professor of Law at Boston College Law School</v>
      </c>
      <c r="E43" s="1" t="str">
        <f>IFERROR(__xludf.DUMMYFUNCTION("""COMPUTED_VALUE"""),"NEGATIVE")</f>
        <v>NEGATIVE</v>
      </c>
      <c r="F43" s="1" t="str">
        <f>IFERROR(__xludf.DUMMYFUNCTION("""COMPUTED_VALUE"""),"Federalism/States")</f>
        <v>Federalism/States</v>
      </c>
      <c r="G43" s="1" t="str">
        <f>IFERROR(__xludf.DUMMYFUNCTION("""COMPUTED_VALUE"""),"Offers a though advocacy for state authority in energy policy, providing links to a Federalism DA/States CP.")</f>
        <v>Offers a though advocacy for state authority in energy policy, providing links to a Federalism DA/States CP.</v>
      </c>
      <c r="H43" s="1" t="str">
        <f>IFERROR(__xludf.DUMMYFUNCTION("""COMPUTED_VALUE"""),"In a trilogy of recent cases, the Supreme Court has launched a quiet revolution in energy federalism. With little fanfare, it has abandoned its decades-long effort to divide electricity regulation into mutually exclusive spheres of federal and state autho"&amp;"rity. Instead it has embraced a more sophisticated concurrent jurisdiction model—against the wishes of Justice Scalia, who opposed this transformation in his final published dissent.
This Article explores the ramifications of this revolution, particularly"&amp;" for state energy regulators. The shift to concurrent jurisdiction is long overdue. The historic model of the local vertically integrated utility has long been replaced by regional, complex, innovative electricity markets. Concurrent jurisdiction allows r"&amp;"egulators to adapt more nimbly to changing market dynamics, unrestrained by the outdated formalism of the old dual federalism model.
But this shift raises important questions regarding how states can remain relevant in an increasingly complex regulatory e"&amp;"nvironment without the judicial safeguards that the dual federalism model once provided. States remain vital sources of local knowledge, experimentation, and expertise. But in this brave new world of concurrent jurisdiction, federalism-related disputes ar"&amp;"e more likely to be settled in the political arena than in the courtroom—an arena where federal authorities have the advantage. Drawing upon recent 
scholarship in negotiation theory and dynamic federalism, this Article discusses ways that state officials"&amp;" can, and do, negotiate with their federal counterparts to maintain influence over energy policy decisions. It also highlights procedural reforms that would improve the robustness and effectiveness of negotiations between state and federal officials in th"&amp;"e policymaking sphere and therefore improve the likelihood that policy decisions 
will be sensitive to federalism concerns.")</f>
        <v>In a trilogy of recent cases, the Supreme Court has launched a quiet revolution in energy federalism. With little fanfare, it has abandoned its decades-long effort to divide electricity regulation into mutually exclusive spheres of federal and state authority. Instead it has embraced a more sophisticated concurrent jurisdiction model—against the wishes of Justice Scalia, who opposed this transformation in his final published dissent.
This Article explores the ramifications of this revolution, particularly for state energy regulators. The shift to concurrent jurisdiction is long overdue. The historic model of the local vertically integrated utility has long been replaced by regional, complex, innovative electricity markets. Concurrent jurisdiction allows regulators to adapt more nimbly to changing market dynamics, unrestrained by the outdated formalism of the old dual federalism model.
But this shift raises important questions regarding how states can remain relevant in an increasingly complex regulatory environment without the judicial safeguards that the dual federalism model once provided. States remain vital sources of local knowledge, experimentation, and expertise. But in this brave new world of concurrent jurisdiction, federalism-related disputes are more likely to be settled in the political arena than in the courtroom—an arena where federal authorities have the advantage. Drawing upon recent 
scholarship in negotiation theory and dynamic federalism, this Article discusses ways that state officials can, and do, negotiate with their federal counterparts to maintain influence over energy policy decisions. It also highlights procedural reforms that would improve the robustness and effectiveness of negotiations between state and federal officials in the policymaking sphere and therefore improve the likelihood that policy decisions 
will be sensitive to federalism concerns.</v>
      </c>
      <c r="I43" s="1" t="str">
        <f>IFERROR(__xludf.DUMMYFUNCTION("""COMPUTED_VALUE"""),"Harvey WWU")</f>
        <v>Harvey WWU</v>
      </c>
      <c r="J43" s="1" t="str">
        <f>IFERROR(__xludf.DUMMYFUNCTION("""COMPUTED_VALUE"""),"1 (due   )")</f>
        <v>1 (due   )</v>
      </c>
      <c r="K43" s="5" t="str">
        <f>IFERROR(__xludf.DUMMYFUNCTION("""COMPUTED_VALUE"""),"https://drive.google.com/open?id=1UTTe0mZS7Xla5Yv7hVR6WcBQp07mUF_0")</f>
        <v>https://drive.google.com/open?id=1UTTe0mZS7Xla5Yv7hVR6WcBQp07mUF_0</v>
      </c>
      <c r="L43" s="3" t="s">
        <v>2</v>
      </c>
    </row>
    <row r="44">
      <c r="A44" s="4">
        <f>IFERROR(__xludf.DUMMYFUNCTION("""COMPUTED_VALUE"""),45530.719568796296)</f>
        <v>45530.71957</v>
      </c>
      <c r="B44" s="1" t="str">
        <f>IFERROR(__xludf.DUMMYFUNCTION("""COMPUTED_VALUE"""),"korry.harvey@gmail.com")</f>
        <v>korry.harvey@gmail.com</v>
      </c>
      <c r="C44" s="1" t="str">
        <f>IFERROR(__xludf.DUMMYFUNCTION("""COMPUTED_VALUE"""),"Bianco, N., et al (2020). New climate federalism: Defining federal, state, and local roles in a U.S. policy framework to achieve decarbonization, World Resources Institute Working Paper, Retrieved from www.wri.org/publication/new-climate-federalism")</f>
        <v>Bianco, N., et al (2020). New climate federalism: Defining federal, state, and local roles in a U.S. policy framework to achieve decarbonization, World Resources Institute Working Paper, Retrieved from www.wri.org/publication/new-climate-federalism</v>
      </c>
      <c r="D44" s="1" t="str">
        <f>IFERROR(__xludf.DUMMYFUNCTION("""COMPUTED_VALUE"""),"Nicholas Bianco is the Deputy Director for World Resources Institute- United States; Franz Litz is founder and principal of Litz Energy Strategies, LLC; Devashree Saha is a Senior Associate at World Resources Institute- United States; Tyler Clevenger is a"&amp;" research analyst at the World Resources Institute- United States; Dan Lashof is the Director of the World Resources Institute- United States.")</f>
        <v>Nicholas Bianco is the Deputy Director for World Resources Institute- United States; Franz Litz is founder and principal of Litz Energy Strategies, LLC; Devashree Saha is a Senior Associate at World Resources Institute- United States; Tyler Clevenger is a research analyst at the World Resources Institute- United States; Dan Lashof is the Director of the World Resources Institute- United States.</v>
      </c>
      <c r="E44" s="1" t="str">
        <f>IFERROR(__xludf.DUMMYFUNCTION("""COMPUTED_VALUE"""),"MIXED")</f>
        <v>MIXED</v>
      </c>
      <c r="F44" s="1" t="str">
        <f>IFERROR(__xludf.DUMMYFUNCTION("""COMPUTED_VALUE"""),"Federalism/States")</f>
        <v>Federalism/States</v>
      </c>
      <c r="G44" s="1" t="str">
        <f>IFERROR(__xludf.DUMMYFUNCTION("""COMPUTED_VALUE"""),"Offers a wide view of pros and cons for action on energy policy at various levels of government in the US, with both Aff &amp; Neg arguments on Federalism/States.")</f>
        <v>Offers a wide view of pros and cons for action on energy policy at various levels of government in the US, with both Aff &amp; Neg arguments on Federalism/States.</v>
      </c>
      <c r="H44" s="1" t="str">
        <f>IFERROR(__xludf.DUMMYFUNCTION("""COMPUTED_VALUE"""),"In the U.S., the scale and urgency of the climate crisis requires that each level of government — federal, state and local — fully bring their strengths to the table. The possibility of eventual federal reengagement on climate policy puts in question the "&amp;"future roles of state and local governments in carrying out such policies. To take a closer look at which strengths these levels of government can leverage, WRI convened a group of thought leaders among current and former U.S. federal, state and local gov"&amp;"ernment officials for a recurring dialogue. Together, they laid out a vision for what climate action could look like at all levels of government and agreed upon a set of “Principles for a New Climate Federalism.” This paper sets out the context and findin"&amp;"gs of the dialogue discussions, and proposes a working federalism framework to delineate roles within a future federal climate policy.")</f>
        <v>In the U.S., the scale and urgency of the climate crisis requires that each level of government — federal, state and local — fully bring their strengths to the table. The possibility of eventual federal reengagement on climate policy puts in question the future roles of state and local governments in carrying out such policies. To take a closer look at which strengths these levels of government can leverage, WRI convened a group of thought leaders among current and former U.S. federal, state and local government officials for a recurring dialogue. Together, they laid out a vision for what climate action could look like at all levels of government and agreed upon a set of “Principles for a New Climate Federalism.” This paper sets out the context and findings of the dialogue discussions, and proposes a working federalism framework to delineate roles within a future federal climate policy.</v>
      </c>
      <c r="I44" s="1" t="str">
        <f>IFERROR(__xludf.DUMMYFUNCTION("""COMPUTED_VALUE"""),"Harvey WWU")</f>
        <v>Harvey WWU</v>
      </c>
      <c r="J44" s="1" t="str">
        <f>IFERROR(__xludf.DUMMYFUNCTION("""COMPUTED_VALUE"""),"1 (due   )")</f>
        <v>1 (due   )</v>
      </c>
      <c r="K44" s="5" t="str">
        <f>IFERROR(__xludf.DUMMYFUNCTION("""COMPUTED_VALUE"""),"https://drive.google.com/open?id=1LEN-KLY0hbcm0PnjET-Hu_OqD9P6VwUd")</f>
        <v>https://drive.google.com/open?id=1LEN-KLY0hbcm0PnjET-Hu_OqD9P6VwUd</v>
      </c>
      <c r="L44" s="3" t="s">
        <v>2</v>
      </c>
    </row>
    <row r="45">
      <c r="A45" s="4">
        <f>IFERROR(__xludf.DUMMYFUNCTION("""COMPUTED_VALUE"""),45530.729214004634)</f>
        <v>45530.72921</v>
      </c>
      <c r="B45" s="1" t="str">
        <f>IFERROR(__xludf.DUMMYFUNCTION("""COMPUTED_VALUE"""),"korry.harvey@gmail.com")</f>
        <v>korry.harvey@gmail.com</v>
      </c>
      <c r="C45" s="1" t="str">
        <f>IFERROR(__xludf.DUMMYFUNCTION("""COMPUTED_VALUE"""),"Wiseman, H. (2022). Regional cooperative federalism and the U.S. electric grid, George Washington Law Review, 90(1), pp. 147-236.")</f>
        <v>Wiseman, H. (2022). Regional cooperative federalism and the U.S. electric grid, George Washington Law Review, 90(1), pp. 147-236.</v>
      </c>
      <c r="D45" s="1" t="str">
        <f>IFERROR(__xludf.DUMMYFUNCTION("""COMPUTED_VALUE"""),"Hannah Wiseman is a Professor of Law, Penn State Law; Professor and Wilson Faculty Fellow in the College of Earth and Mineral Sciences; Institutes of Energy and the Environment Co-funded Faculty, Penn State University, University Park. ")</f>
        <v>Hannah Wiseman is a Professor of Law, Penn State Law; Professor and Wilson Faculty Fellow in the College of Earth and Mineral Sciences; Institutes of Energy and the Environment Co-funded Faculty, Penn State University, University Park. </v>
      </c>
      <c r="E45" s="1" t="str">
        <f>IFERROR(__xludf.DUMMYFUNCTION("""COMPUTED_VALUE"""),"MIXED")</f>
        <v>MIXED</v>
      </c>
      <c r="F45" s="1" t="str">
        <f>IFERROR(__xludf.DUMMYFUNCTION("""COMPUTED_VALUE"""),"Federalism/States")</f>
        <v>Federalism/States</v>
      </c>
      <c r="G45" s="1" t="str">
        <f>IFERROR(__xludf.DUMMYFUNCTION("""COMPUTED_VALUE"""),"Looks at different types of federalism, advocating regional cooperative federalism and Regional Transmission Organizations (RTOs). Either Aff solvency or Neg CP, depending on direction of Aff plan. ")</f>
        <v>Looks at different types of federalism, advocating regional cooperative federalism and Regional Transmission Organizations (RTOs). Either Aff solvency or Neg CP, depending on direction of Aff plan. </v>
      </c>
      <c r="H45" s="1" t="str">
        <f>IFERROR(__xludf.DUMMYFUNCTION("""COMPUTED_VALUE"""),"The U.S. Constitution makes no direct mention of regional governing entities, yet they are an entrenched part of our federalist system. In the area of electric grid governance, the federal government enlists independent, private entities called regional t"&amp;"ransmission organizations (""RTOs"") to implement federal policy and achieve state energy goals. RTOs are the most prominent form of regional cooperative federalism, and other policy spheres, such as
opioid control, also incorporate a similar regional app"&amp;"roach. These types of regional governance structures are a twist on the classic form of cooperative federalism, in which the federal government relies upon individual states to achieve federal mandates.
The regionally governed electric grid is a critical"&amp;" policy area. The availability of reliable electricity directly drives economic and human health outcomes, and populating the grid with clean sources of electricity while maintaining grid reliability is urgent. The use of regional cooperative federalism i"&amp;"n this area therefore calls for a fresh look at federalism principles. Many RTOs are geographically massive; the largest RTO covers all or part of the
territories of fifteen states. In many ways, RTOs better serve the core federalism principles ascribed t"&amp;"o more decentralized governmental control, including policy experimentation and innovation, efficiency, and accountability to stakeholders. Some RTOs have been particularly innovative in formulating new policies to address changing circumstances, such as "&amp;"demand for more renewable energy. But in the accountability sphere, other RTOs have struggled to
address stakeholder needs.
Regional cooperative federalism will be increasingly important in a world of complex policy issues that spill beyond local and sta"&amp;"te lines yet require locally tailored solutions. This Article constructs a normative framework for analyzing the successes and failures of this underrecognized approach, using the attributes of federalism as guideposts, and suggests a path forward for pro"&amp;"ductively expanding and improving this governance form.")</f>
        <v>The U.S. Constitution makes no direct mention of regional governing entities, yet they are an entrenched part of our federalist system. In the area of electric grid governance, the federal government enlists independent, private entities called regional transmission organizations ("RTOs") to implement federal policy and achieve state energy goals. RTOs are the most prominent form of regional cooperative federalism, and other policy spheres, such as
opioid control, also incorporate a similar regional approach. These types of regional governance structures are a twist on the classic form of cooperative federalism, in which the federal government relies upon individual states to achieve federal mandates.
The regionally governed electric grid is a critical policy area. The availability of reliable electricity directly drives economic and human health outcomes, and populating the grid with clean sources of electricity while maintaining grid reliability is urgent. The use of regional cooperative federalism in this area therefore calls for a fresh look at federalism principles. Many RTOs are geographically massive; the largest RTO covers all or part of the
territories of fifteen states. In many ways, RTOs better serve the core federalism principles ascribed to more decentralized governmental control, including policy experimentation and innovation, efficiency, and accountability to stakeholders. Some RTOs have been particularly innovative in formulating new policies to address changing circumstances, such as demand for more renewable energy. But in the accountability sphere, other RTOs have struggled to
address stakeholder needs.
Regional cooperative federalism will be increasingly important in a world of complex policy issues that spill beyond local and state lines yet require locally tailored solutions. This Article constructs a normative framework for analyzing the successes and failures of this underrecognized approach, using the attributes of federalism as guideposts, and suggests a path forward for productively expanding and improving this governance form.</v>
      </c>
      <c r="I45" s="1" t="str">
        <f>IFERROR(__xludf.DUMMYFUNCTION("""COMPUTED_VALUE"""),"Harvey WWU")</f>
        <v>Harvey WWU</v>
      </c>
      <c r="J45" s="1" t="str">
        <f>IFERROR(__xludf.DUMMYFUNCTION("""COMPUTED_VALUE"""),"1 (due   )")</f>
        <v>1 (due   )</v>
      </c>
      <c r="K45" s="5" t="str">
        <f>IFERROR(__xludf.DUMMYFUNCTION("""COMPUTED_VALUE"""),"https://drive.google.com/open?id=1CbMaR8_S2TFBUgbjygmUQsnQUpkVwmjd")</f>
        <v>https://drive.google.com/open?id=1CbMaR8_S2TFBUgbjygmUQsnQUpkVwmjd</v>
      </c>
      <c r="L45" s="3" t="s">
        <v>2</v>
      </c>
    </row>
    <row r="46">
      <c r="A46" s="4">
        <f>IFERROR(__xludf.DUMMYFUNCTION("""COMPUTED_VALUE"""),45530.73640787037)</f>
        <v>45530.73641</v>
      </c>
      <c r="B46" s="1" t="str">
        <f>IFERROR(__xludf.DUMMYFUNCTION("""COMPUTED_VALUE"""),"korry.harvey@gmail.com")</f>
        <v>korry.harvey@gmail.com</v>
      </c>
      <c r="C46" s="1" t="str">
        <f>IFERROR(__xludf.DUMMYFUNCTION("""COMPUTED_VALUE"""),"Helbing, M. (2023). Fifteen years later: Literature perspectives on the impacts of Dworkin &amp; Goldwasser and FERC Order No. 719, Energy Law Journal, 44(3), pp. 325-339.")</f>
        <v>Helbing, M. (2023). Fifteen years later: Literature perspectives on the impacts of Dworkin &amp; Goldwasser and FERC Order No. 719, Energy Law Journal, 44(3), pp. 325-339.</v>
      </c>
      <c r="D46" s="1" t="str">
        <f>IFERROR(__xludf.DUMMYFUNCTION("""COMPUTED_VALUE"""),"Michael Helbing is a Staff Attorney for the Center for Energy Law and Policy at Penn State University.")</f>
        <v>Michael Helbing is a Staff Attorney for the Center for Energy Law and Policy at Penn State University.</v>
      </c>
      <c r="E46" s="1" t="str">
        <f>IFERROR(__xludf.DUMMYFUNCTION("""COMPUTED_VALUE"""),"MIXED")</f>
        <v>MIXED</v>
      </c>
      <c r="F46" s="1" t="str">
        <f>IFERROR(__xludf.DUMMYFUNCTION("""COMPUTED_VALUE"""),"Federalism/States")</f>
        <v>Federalism/States</v>
      </c>
      <c r="G46" s="1" t="str">
        <f>IFERROR(__xludf.DUMMYFUNCTION("""COMPUTED_VALUE"""),"Offers opposition/criticism of regional cooperative federalism and Regional Transmission Organizations (RTOs). Either Aff solvency or Neg CP, depending on direction of Aff plan.")</f>
        <v>Offers opposition/criticism of regional cooperative federalism and Regional Transmission Organizations (RTOs). Either Aff solvency or Neg CP, depending on direction of Aff plan.</v>
      </c>
      <c r="H46" s="1" t="str">
        <f>IFERROR(__xludf.DUMMYFUNCTION("""COMPUTED_VALUE""")," In the several decades since they were first established, the roles and responsibilities of regional transmission organizations and independent system operators have evolved and expanded, while the electricity market itself has become more complex as a r"&amp;"esult of emerging technologies and social and regulatory pressures to reduce carbon emissions. The combination of these factors has led numerous commentators to question whether RTOs’ and ISOs’ governance structures are adequate to guide the organizations"&amp;" in an increasingly complex – and scrutinized – environment. This article summarizes the critiques and suggestions regarding RTO/ISO governance from academic literature. It then synthesizes those contributions into a discussion of the aspects of governanc"&amp;"e that appear to work well and those that may be considered targets for future reform.")</f>
        <v> In the several decades since they were first established, the roles and responsibilities of regional transmission organizations and independent system operators have evolved and expanded, while the electricity market itself has become more complex as a result of emerging technologies and social and regulatory pressures to reduce carbon emissions. The combination of these factors has led numerous commentators to question whether RTOs’ and ISOs’ governance structures are adequate to guide the organizations in an increasingly complex – and scrutinized – environment. This article summarizes the critiques and suggestions regarding RTO/ISO governance from academic literature. It then synthesizes those contributions into a discussion of the aspects of governance that appear to work well and those that may be considered targets for future reform.</v>
      </c>
      <c r="I46" s="1" t="str">
        <f>IFERROR(__xludf.DUMMYFUNCTION("""COMPUTED_VALUE"""),"Harvey WWU")</f>
        <v>Harvey WWU</v>
      </c>
      <c r="J46" s="1" t="str">
        <f>IFERROR(__xludf.DUMMYFUNCTION("""COMPUTED_VALUE"""),"1 (due   )")</f>
        <v>1 (due   )</v>
      </c>
      <c r="K46" s="5" t="str">
        <f>IFERROR(__xludf.DUMMYFUNCTION("""COMPUTED_VALUE"""),"https://drive.google.com/open?id=11Z-Qmi8eW1J3KdzMyZUqkgQH12VMWlbc")</f>
        <v>https://drive.google.com/open?id=11Z-Qmi8eW1J3KdzMyZUqkgQH12VMWlbc</v>
      </c>
      <c r="L46" s="3" t="s">
        <v>2</v>
      </c>
    </row>
    <row r="47">
      <c r="A47" s="4">
        <f>IFERROR(__xludf.DUMMYFUNCTION("""COMPUTED_VALUE"""),45526.49394721065)</f>
        <v>45526.49395</v>
      </c>
      <c r="B47" s="1" t="str">
        <f>IFERROR(__xludf.DUMMYFUNCTION("""COMPUTED_VALUE"""),"angelocthechef@gmail.com")</f>
        <v>angelocthechef@gmail.com</v>
      </c>
      <c r="C47" s="1" t="str">
        <f>IFERROR(__xludf.DUMMYFUNCTION("""COMPUTED_VALUE"""),"Golroudbary et al. (2022). ""Global environmental cost of using rare earth elements in green energy technologies"", ScienceDirect, https://www.sciencedirect.com/science/article/pii/S0048969722021155")</f>
        <v>Golroudbary et al. (2022). "Global environmental cost of using rare earth elements in green energy technologies", ScienceDirect, https://www.sciencedirect.com/science/article/pii/S0048969722021155</v>
      </c>
      <c r="D47" s="1" t="str">
        <f>IFERROR(__xludf.DUMMYFUNCTION("""COMPUTED_VALUE"""),"PHD, Research fellow at Hydrometallurgy and Corrosion and Department of Chemical and Metallurgical Engineering")</f>
        <v>PHD, Research fellow at Hydrometallurgy and Corrosion and Department of Chemical and Metallurgical Engineering</v>
      </c>
      <c r="E47" s="1" t="str">
        <f>IFERROR(__xludf.DUMMYFUNCTION("""COMPUTED_VALUE"""),"NEGATIVE")</f>
        <v>NEGATIVE</v>
      </c>
      <c r="F47" s="1" t="str">
        <f>IFERROR(__xludf.DUMMYFUNCTION("""COMPUTED_VALUE"""),"General")</f>
        <v>General</v>
      </c>
      <c r="G47" s="1" t="str">
        <f>IFERROR(__xludf.DUMMYFUNCTION("""COMPUTED_VALUE"""),"Renewables require the mining of rare earth elements, which is untenable")</f>
        <v>Renewables require the mining of rare earth elements, which is untenable</v>
      </c>
      <c r="H47" s="1" t="str">
        <f>IFERROR(__xludf.DUMMYFUNCTION("""COMPUTED_VALUE"""),"Decarbonization of economy is intended to reduce the consumption of non-renewable energy sources and emissions from them. One of the major components of decarbonization are “green energy” technologies, e.g. wind turbines and electric vehicles. However, th"&amp;"ey themselves create new sustainability challenges, e.g. use of green energy contributes to the reduction of consumption of fossil fuels, on one hand, but at the same time it increases demand for permanent magnets containing considerable amounts of rare e"&amp;"arth elements (REEs). This article provides the first global analysis of environmental impact of using rare earth elements in green energy technologies. The analysis was performed applying system dynamics modelling methodology integrated with life cycle a"&amp;"ssessment and geometallurgical approach. We provide evidence that an increase by 1% of green energy production causes a depletion of REEs reserves by 0.18% and increases GHG emissions in the exploitation phase by 0.90%. Our results demonstrate that betwee"&amp;"n 2010 and 2020, the use of permanent magnets has resulted cumulatively in 32 billion tonnes CO2-equivalent of GHG emissions globally. It shows that new approaches to decarbonization are still needed, in order to ensure sustainability of the process. The "&amp;"finding highlights a need to design and implement various measures intended to increase REEs reuse, recycling (currently below 1%), limit their dematerialization, increase substitution and develop new elimination technologies. Such measures would support "&amp;"the development of appropriate strategies for decarbonization and environmentally sustainable development of green energy technologies.")</f>
        <v>Decarbonization of economy is intended to reduce the consumption of non-renewable energy sources and emissions from them. One of the major components of decarbonization are “green energy” technologies, e.g. wind turbines and electric vehicles. However, they themselves create new sustainability challenges, e.g. use of green energy contributes to the reduction of consumption of fossil fuels, on one hand, but at the same time it increases demand for permanent magnets containing considerable amounts of rare earth elements (REEs). This article provides the first global analysis of environmental impact of using rare earth elements in green energy technologies. The analysis was performed applying system dynamics modelling methodology integrated with life cycle assessment and geometallurgical approach. We provide evidence that an increase by 1% of green energy production causes a depletion of REEs reserves by 0.18% and increases GHG emissions in the exploitation phase by 0.90%. Our results demonstrate that between 2010 and 2020, the use of permanent magnets has resulted cumulatively in 32 billion tonnes CO2-equivalent of GHG emissions globally. It shows that new approaches to decarbonization are still needed, in order to ensure sustainability of the process. The finding highlights a need to design and implement various measures intended to increase REEs reuse, recycling (currently below 1%), limit their dematerialization, increase substitution and develop new elimination technologies. Such measures would support the development of appropriate strategies for decarbonization and environmentally sustainable development of green energy technologies.</v>
      </c>
      <c r="I47" s="1" t="str">
        <f>IFERROR(__xludf.DUMMYFUNCTION("""COMPUTED_VALUE"""),"Celletti GU")</f>
        <v>Celletti GU</v>
      </c>
      <c r="J47" s="1" t="str">
        <f>IFERROR(__xludf.DUMMYFUNCTION("""COMPUTED_VALUE"""),"1 (due   )")</f>
        <v>1 (due   )</v>
      </c>
      <c r="K47" s="5" t="str">
        <f>IFERROR(__xludf.DUMMYFUNCTION("""COMPUTED_VALUE"""),"https://drive.google.com/open?id=1s3qcxlf-BPTJX3nlBR_zd9zsl8TeWJX-")</f>
        <v>https://drive.google.com/open?id=1s3qcxlf-BPTJX3nlBR_zd9zsl8TeWJX-</v>
      </c>
      <c r="L47" s="3" t="s">
        <v>2</v>
      </c>
    </row>
    <row r="48">
      <c r="A48" s="4">
        <f>IFERROR(__xludf.DUMMYFUNCTION("""COMPUTED_VALUE"""),45518.043262384264)</f>
        <v>45518.04326</v>
      </c>
      <c r="B48" s="1" t="str">
        <f>IFERROR(__xludf.DUMMYFUNCTION("""COMPUTED_VALUE"""),"schmittkyla@gmail.com")</f>
        <v>schmittkyla@gmail.com</v>
      </c>
      <c r="C48" s="1" t="str">
        <f>IFERROR(__xludf.DUMMYFUNCTION("""COMPUTED_VALUE"""),"Saito, K. (2022). Marx in the Anthropocene: Towards the Idea of Degrowth Communism. Cambridge University Press. ISBN: 978-1-108-84415-4.")</f>
        <v>Saito, K. (2022). Marx in the Anthropocene: Towards the Idea of Degrowth Communism. Cambridge University Press. ISBN: 978-1-108-84415-4.</v>
      </c>
      <c r="D48" s="1" t="str">
        <f>IFERROR(__xludf.DUMMYFUNCTION("""COMPUTED_VALUE"""),"Saito Kohei is an associate professor at the University of Tokyo. His book Karl Marx’s Ecosocialism: Capital, Nature and the Unfinished Critique of Political Economy (2017) won the Deutscher Memorial Prize. His second book, Hitoshinsei no Shihonron [Capit"&amp;"al in the Anthropocene] (2020), has sold over 500,000 copies in Japan and received the Asia Book Award, 2021.")</f>
        <v>Saito Kohei is an associate professor at the University of Tokyo. His book Karl Marx’s Ecosocialism: Capital, Nature and the Unfinished Critique of Political Economy (2017) won the Deutscher Memorial Prize. His second book, Hitoshinsei no Shihonron [Capital in the Anthropocene] (2020), has sold over 500,000 copies in Japan and received the Asia Book Award, 2021.</v>
      </c>
      <c r="E48" s="1" t="str">
        <f>IFERROR(__xludf.DUMMYFUNCTION("""COMPUTED_VALUE"""),"NEGATIVE")</f>
        <v>NEGATIVE</v>
      </c>
      <c r="F48" s="1" t="str">
        <f>IFERROR(__xludf.DUMMYFUNCTION("""COMPUTED_VALUE"""),"Marx K")</f>
        <v>Marx K</v>
      </c>
      <c r="G48" s="1" t="str">
        <f>IFERROR(__xludf.DUMMYFUNCTION("""COMPUTED_VALUE"""),"Reinterprets Marxism through an ecological, degrowth communism lens. ")</f>
        <v>Reinterprets Marxism through an ecological, degrowth communism lens. </v>
      </c>
      <c r="H48" s="1" t="str">
        <f>IFERROR(__xludf.DUMMYFUNCTION("""COMPUTED_VALUE"""),"Marx in the Anthropocene explains why Marx’s ecology had to be marginalized, and even suppressed by Marxists after his death, throughout the 20th century. Marx’s ecological critique of capitalism, however, revives in the Anthropocene against dominant prod"&amp;"uctivism and monism. Investigating new materials published in the complete works of Marx and Engels (Marx-Engels-Gesamtausgabe), Kohei Saito offers a wholly novel idea of Marx’s
alternative to capitalism that should be adequately characterized as degrowth"&amp;"
communism. This provocative interpretation of the late Marx sheds new light on
recent debates on the relationship between society and nature and invites readers
to envision a post-capitalist society without repeating the failure of the actually
existing "&amp;"socialism of the 20th century.")</f>
        <v>Marx in the Anthropocene explains why Marx’s ecology had to be marginalized, and even suppressed by Marxists after his death, throughout the 20th century. Marx’s ecological critique of capitalism, however, revives in the Anthropocene against dominant productivism and monism. Investigating new materials published in the complete works of Marx and Engels (Marx-Engels-Gesamtausgabe), Kohei Saito offers a wholly novel idea of Marx’s
alternative to capitalism that should be adequately characterized as degrowth
communism. This provocative interpretation of the late Marx sheds new light on
recent debates on the relationship between society and nature and invites readers
to envision a post-capitalist society without repeating the failure of the actually
existing socialism of the 20th century.</v>
      </c>
      <c r="I48" s="1" t="str">
        <f>IFERROR(__xludf.DUMMYFUNCTION("""COMPUTED_VALUE"""),"Schmitt UO")</f>
        <v>Schmitt UO</v>
      </c>
      <c r="J48" s="1" t="str">
        <f>IFERROR(__xludf.DUMMYFUNCTION("""COMPUTED_VALUE"""),"1 (due   )")</f>
        <v>1 (due   )</v>
      </c>
      <c r="K48" s="5" t="str">
        <f>IFERROR(__xludf.DUMMYFUNCTION("""COMPUTED_VALUE"""),"https://drive.google.com/open?id=1mONNfEHv1yizX0IX4Sx76DzFoMI6k4Od")</f>
        <v>https://drive.google.com/open?id=1mONNfEHv1yizX0IX4Sx76DzFoMI6k4Od</v>
      </c>
      <c r="L48" s="3" t="s">
        <v>2</v>
      </c>
    </row>
    <row r="49">
      <c r="A49" s="4">
        <f>IFERROR(__xludf.DUMMYFUNCTION("""COMPUTED_VALUE"""),45518.05072306713)</f>
        <v>45518.05072</v>
      </c>
      <c r="B49" s="1" t="str">
        <f>IFERROR(__xludf.DUMMYFUNCTION("""COMPUTED_VALUE"""),"schmittkyla@gmail.com")</f>
        <v>schmittkyla@gmail.com</v>
      </c>
      <c r="C49" s="1" t="str">
        <f>IFERROR(__xludf.DUMMYFUNCTION("""COMPUTED_VALUE"""),"Foster, J.B. (2020). The Return of Nature: Socialism and Ecology. Monthly Review Press. ISBN: 9781583678381.")</f>
        <v>Foster, J.B. (2020). The Return of Nature: Socialism and Ecology. Monthly Review Press. ISBN: 9781583678381.</v>
      </c>
      <c r="D49" s="1" t="str">
        <f>IFERROR(__xludf.DUMMYFUNCTION("""COMPUTED_VALUE"""),"John Bellamy Foster is editor of Monthly Review and professor of sociology at the University of Oregon. He has written widely on political economy and has established a reputation as a major environmental sociologist. He is the author of Marx’s Ecology: M"&amp;"aterialism and Nature (2000), The Great Financial Crisis: Causes and Consequences (with Fred Magdoff, 2009), The Ecological Rift: Capitalism’s War on the Earth (with Brett Clark and Richard York, 2010), and The Theory of Monopoly Capitalism: An Elaboratio"&amp;"n of Marxian Political Economy (New Edition, 2014), among many others.")</f>
        <v>John Bellamy Foster is editor of Monthly Review and professor of sociology at the University of Oregon. He has written widely on political economy and has established a reputation as a major environmental sociologist. He is the author of Marx’s Ecology: Materialism and Nature (2000), The Great Financial Crisis: Causes and Consequences (with Fred Magdoff, 2009), The Ecological Rift: Capitalism’s War on the Earth (with Brett Clark and Richard York, 2010), and The Theory of Monopoly Capitalism: An Elaboration of Marxian Political Economy (New Edition, 2014), among many others.</v>
      </c>
      <c r="E49" s="1" t="str">
        <f>IFERROR(__xludf.DUMMYFUNCTION("""COMPUTED_VALUE"""),"NEGATIVE")</f>
        <v>NEGATIVE</v>
      </c>
      <c r="F49" s="1" t="str">
        <f>IFERROR(__xludf.DUMMYFUNCTION("""COMPUTED_VALUE"""),"Marx K")</f>
        <v>Marx K</v>
      </c>
      <c r="G49" s="1" t="str">
        <f>IFERROR(__xludf.DUMMYFUNCTION("""COMPUTED_VALUE"""),"Advocates for a long, ecological revolution.")</f>
        <v>Advocates for a long, ecological revolution.</v>
      </c>
      <c r="H49" s="1" t="str">
        <f>IFERROR(__xludf.DUMMYFUNCTION("""COMPUTED_VALUE"""),"Twenty years ago, John Bellamy Foster's Marx's Ecology: Materialism and Nature introduced a new understanding of Karl Marx's revolutionary ecological materialism. More than simply a study of Marx, it commenced an intellectual and social history, en-compas"&amp;"sing thinkers from Epicurus to Darwin, who developed materialist and ecological ideas. Now, with The Return of Nature: Socialism and Ecology, Foster continues this narrative. In so doing, he uncovers a long history of the efforts to unite questions of soc"&amp;"ial justice and environmental sustainability, and helps us comprehend and counter today's unprecedented planetary emergencies. The Return of Nature begins with the deaths of Darwin (1882) and Marx (1883) and moves on until the rise of the ecological age i"&amp;"n the 1960s and 1970s. Foster explores how socialist analysts and materialist scientists of various stamps, first in Britain, then the United States, from William Morris and Frederick Engels, to Joseph Needham, Rachel Carson, and Stephen J. Gould, sought "&amp;"to develop a dialectical naturalism, rooted in a critique of capitalism. In the process, he delivers a far-reaching and fascinating reinterpretation of the radical and socialist origins of ecology. Ultimately, what this book asks for is nothing short of r"&amp;"evolution: a long, ecological revolution, aimed at making peace with the planet while meeting collective human needs.")</f>
        <v>Twenty years ago, John Bellamy Foster's Marx's Ecology: Materialism and Nature introduced a new understanding of Karl Marx's revolutionary ecological materialism. More than simply a study of Marx, it commenced an intellectual and social history, en-compassing thinkers from Epicurus to Darwin, who developed materialist and ecological ideas. Now, with The Return of Nature: Socialism and Ecology, Foster continues this narrative. In so doing, he uncovers a long history of the efforts to unite questions of social justice and environmental sustainability, and helps us comprehend and counter today's unprecedented planetary emergencies. The Return of Nature begins with the deaths of Darwin (1882) and Marx (1883) and moves on until the rise of the ecological age in the 1960s and 1970s. Foster explores how socialist analysts and materialist scientists of various stamps, first in Britain, then the United States, from William Morris and Frederick Engels, to Joseph Needham, Rachel Carson, and Stephen J. Gould, sought to develop a dialectical naturalism, rooted in a critique of capitalism. In the process, he delivers a far-reaching and fascinating reinterpretation of the radical and socialist origins of ecology. Ultimately, what this book asks for is nothing short of revolution: a long, ecological revolution, aimed at making peace with the planet while meeting collective human needs.</v>
      </c>
      <c r="I49" s="1" t="str">
        <f>IFERROR(__xludf.DUMMYFUNCTION("""COMPUTED_VALUE"""),"Schmitt UO")</f>
        <v>Schmitt UO</v>
      </c>
      <c r="J49" s="1" t="str">
        <f>IFERROR(__xludf.DUMMYFUNCTION("""COMPUTED_VALUE"""),"1 (due   )")</f>
        <v>1 (due   )</v>
      </c>
      <c r="K49" s="5" t="str">
        <f>IFERROR(__xludf.DUMMYFUNCTION("""COMPUTED_VALUE"""),"https://drive.google.com/open?id=1abHrhi6GA_s9C-893FR5psCwc6feJltB")</f>
        <v>https://drive.google.com/open?id=1abHrhi6GA_s9C-893FR5psCwc6feJltB</v>
      </c>
      <c r="L49" s="3" t="s">
        <v>2</v>
      </c>
    </row>
    <row r="50">
      <c r="A50" s="4">
        <f>IFERROR(__xludf.DUMMYFUNCTION("""COMPUTED_VALUE"""),45518.83125256945)</f>
        <v>45518.83125</v>
      </c>
      <c r="B50" s="1" t="str">
        <f>IFERROR(__xludf.DUMMYFUNCTION("""COMPUTED_VALUE"""),"schmittkyla@gmail.com")</f>
        <v>schmittkyla@gmail.com</v>
      </c>
      <c r="C50" s="1" t="str">
        <f>IFERROR(__xludf.DUMMYFUNCTION("""COMPUTED_VALUE"""),"Foster, J.B. (2024). The Dialectics of Ecology: Socialism and Nature. New York: Monthly Review Press. Print.  ISBN: 9781685900465.")</f>
        <v>Foster, J.B. (2024). The Dialectics of Ecology: Socialism and Nature. New York: Monthly Review Press. Print.  ISBN: 9781685900465.</v>
      </c>
      <c r="D50" s="1" t="str">
        <f>IFERROR(__xludf.DUMMYFUNCTION("""COMPUTED_VALUE"""),"John Bellamy Foster is editor of Monthly Review and professor of sociology at the University of Oregon. He has written widely on political economy and has established a reputation as a major environmental sociologist. He is the author of Marx’s Ecology: M"&amp;"aterialism and Nature (2000), The Great Financial Crisis: Causes and Consequences (with Fred Magdoff, 2009), The Ecological Rift: Capitalism’s War on the Earth (with Brett Clark and Richard York, 2010), and The Theory of Monopoly Capitalism: An Elaboratio"&amp;"n of Marxian Political Economy (New Edition, 2014), among many others.")</f>
        <v>John Bellamy Foster is editor of Monthly Review and professor of sociology at the University of Oregon. He has written widely on political economy and has established a reputation as a major environmental sociologist. He is the author of Marx’s Ecology: Materialism and Nature (2000), The Great Financial Crisis: Causes and Consequences (with Fred Magdoff, 2009), The Ecological Rift: Capitalism’s War on the Earth (with Brett Clark and Richard York, 2010), and The Theory of Monopoly Capitalism: An Elaboration of Marxian Political Economy (New Edition, 2014), among many others.</v>
      </c>
      <c r="E50" s="1" t="str">
        <f>IFERROR(__xludf.DUMMYFUNCTION("""COMPUTED_VALUE"""),"NEGATIVE")</f>
        <v>NEGATIVE</v>
      </c>
      <c r="F50" s="1" t="str">
        <f>IFERROR(__xludf.DUMMYFUNCTION("""COMPUTED_VALUE"""),"Marx K")</f>
        <v>Marx K</v>
      </c>
      <c r="G50" s="1" t="str">
        <f>IFERROR(__xludf.DUMMYFUNCTION("""COMPUTED_VALUE"""),"Interrogates Marxist critique of enlightenment humanism ")</f>
        <v>Interrogates Marxist critique of enlightenment humanism </v>
      </c>
      <c r="H50" s="1" t="str">
        <f>IFERROR(__xludf.DUMMYFUNCTION("""COMPUTED_VALUE"""),"Today the fate of the earth as a home for humanity is in question-and yet, contends John Bellamy Foster, the reunification of humanity and the earth remains possible if we are prepared to make revolutionary changes. As with his prior books, The Dialectics"&amp;" of Ecology is grounded in the contention that we are now faced with a concrete choice between ecological socialism and capitalist exterminism, and rooted in insights drawn from the classical historical materialist tradition. In this latest work, Foster e"&amp;"xplores the complex theoretical debates that have arisen historically with respect to the dialectics of nature and society. He then goes on to examine the current contradictions associated with the confrontation between capitalist extractivism and the fin"&amp;"ancialization of nature, on the one hand, and the radical challenges to these represented by emergent visions of ecological civilization and planned degrowth, on the other""--Provided by publisher.")</f>
        <v>Today the fate of the earth as a home for humanity is in question-and yet, contends John Bellamy Foster, the reunification of humanity and the earth remains possible if we are prepared to make revolutionary changes. As with his prior books, The Dialectics of Ecology is grounded in the contention that we are now faced with a concrete choice between ecological socialism and capitalist exterminism, and rooted in insights drawn from the classical historical materialist tradition. In this latest work, Foster explores the complex theoretical debates that have arisen historically with respect to the dialectics of nature and society. He then goes on to examine the current contradictions associated with the confrontation between capitalist extractivism and the financialization of nature, on the one hand, and the radical challenges to these represented by emergent visions of ecological civilization and planned degrowth, on the other"--Provided by publisher.</v>
      </c>
      <c r="I50" s="1" t="str">
        <f>IFERROR(__xludf.DUMMYFUNCTION("""COMPUTED_VALUE"""),"Schmitt UO")</f>
        <v>Schmitt UO</v>
      </c>
      <c r="J50" s="1" t="str">
        <f>IFERROR(__xludf.DUMMYFUNCTION("""COMPUTED_VALUE"""),"1 (due   )")</f>
        <v>1 (due   )</v>
      </c>
      <c r="K50" s="5" t="str">
        <f>IFERROR(__xludf.DUMMYFUNCTION("""COMPUTED_VALUE"""),"https://drive.google.com/open?id=18Gtb2Ak6LetQtpZfiJXVioqHZ0Z_QSEE")</f>
        <v>https://drive.google.com/open?id=18Gtb2Ak6LetQtpZfiJXVioqHZ0Z_QSEE</v>
      </c>
      <c r="L50" s="3" t="s">
        <v>1</v>
      </c>
    </row>
    <row r="51">
      <c r="A51" s="4">
        <f>IFERROR(__xludf.DUMMYFUNCTION("""COMPUTED_VALUE"""),45526.587738518516)</f>
        <v>45526.58774</v>
      </c>
      <c r="B51" s="1" t="str">
        <f>IFERROR(__xludf.DUMMYFUNCTION("""COMPUTED_VALUE"""),"carter.henman@gmail.com")</f>
        <v>carter.henman@gmail.com</v>
      </c>
      <c r="C51" s="1" t="str">
        <f>IFERROR(__xludf.DUMMYFUNCTION("""COMPUTED_VALUE"""),"Reed, L., Abrahams, L., Cohen, A., Majkut, J., Phillips, B., Place, A., &amp; Prochnik, J. (2021). How are we going to build all that clean energy infrastructure? Considering Private Enterprise, Public Initiative, and Hybrid Approaches to the Challenge of Ele"&amp;"ctricity Transmission. Niskanen Center. https://www.niskanencenter.org/wp-content/uploads/2021/08/CATF_Niskanen_CleanEnergyInfrastructure_Report.pdf")</f>
        <v>Reed, L., Abrahams, L., Cohen, A., Majkut, J., Phillips, B., Place, A., &amp; Prochnik, J. (2021). How are we going to build all that clean energy infrastructure? Considering Private Enterprise, Public Initiative, and Hybrid Approaches to the Challenge of Electricity Transmission. Niskanen Center. https://www.niskanencenter.org/wp-content/uploads/2021/08/CATF_Niskanen_CleanEnergyInfrastructure_Report.pdf</v>
      </c>
      <c r="D51" s="1" t="str">
        <f>IFERROR(__xludf.DUMMYFUNCTION("""COMPUTED_VALUE"""),"Research Manager for Low Carbon Technology Policy, Niskanen Center; Director of Energy Systems Analysis, Clean Air Task Force; Executive Director, Clean Air Task Force; Director of Climate Policy, Niskanen Center; Partner, NorthBridge Group &amp; Member Board"&amp;" of Directors, Clean Air Task Force; State Energy and Climate Policy Director, Clean Air Task Force; Founder and President, JASenergies LLC;  ")</f>
        <v>Research Manager for Low Carbon Technology Policy, Niskanen Center; Director of Energy Systems Analysis, Clean Air Task Force; Executive Director, Clean Air Task Force; Director of Climate Policy, Niskanen Center; Partner, NorthBridge Group &amp; Member Board of Directors, Clean Air Task Force; State Energy and Climate Policy Director, Clean Air Task Force; Founder and President, JASenergies LLC;  </v>
      </c>
      <c r="E51" s="1" t="str">
        <f>IFERROR(__xludf.DUMMYFUNCTION("""COMPUTED_VALUE"""),"MIXED")</f>
        <v>MIXED</v>
      </c>
      <c r="F51" s="1" t="str">
        <f>IFERROR(__xludf.DUMMYFUNCTION("""COMPUTED_VALUE"""),"National Electric Transmission Plan")</f>
        <v>National Electric Transmission Plan</v>
      </c>
      <c r="G51" s="1" t="str">
        <f>IFERROR(__xludf.DUMMYFUNCTION("""COMPUTED_VALUE"""),"Establishes the importance of new transmission infrastructure and planning for low-carbon energy transition, identifies pros and cons of public vs. private approaches.")</f>
        <v>Establishes the importance of new transmission infrastructure and planning for low-carbon energy transition, identifies pros and cons of public vs. private approaches.</v>
      </c>
      <c r="H51" s="1" t="str">
        <f>IFERROR(__xludf.DUMMYFUNCTION("""COMPUTED_VALUE"""),"Any pathway to a net-zero-carbon energy system in the United States will require a staggering build-out of infrastructure for electricity generation and transmission, zero-carbon fuels, and carbon sequestration. To date, however, there has been hardly any"&amp;" conversation among policy analysts, let alone high-level policymakers, about how such a massive infrastructure initiative should be undertaken. We have abundant evidence that our existing system for electricity infrastructure expansion is slow, inefficie"&amp;"nt, and expensive. In a spring 2021 workshop, the Niskanen Center and the Clean Air Task Force convened a group of practitioners, advocates, and academics to consider how the nation can achieve such an unprecedented infrastructure build-out, using electri"&amp;"city transmission as a case study. This paper summarizes some key themes and policy ideas from that workshop. A central framing concept is that policy for transmission infrastructure is traditionally structured around the three “Ps”: planning, permitting,"&amp;" and paying. One important step forward would be to incorporate two additional Ps in policy design: participation (to include the perspectives and needs of the full range of stakeholders, especially local communities) and process (to provide a standard fr"&amp;"amework to spur project development and investment with clear expectations and accountability mechanisms). There was also broad support for the idea that a national transmission plan is needed to establish a clear set of goals and metrics across the many "&amp;"entities involved in moving electricity. From this foundation (3+2 “Ps” and a national plan) we describe a range of policy elements, then present two sample policy models for consideration, one emphasizing private enterprise and the other public initiativ"&amp;"e. While the objectives of the two sample initiatives are consistent, such as addressing conflicts in siting and permitting, they differ in the extent of federal authority that would be invoked. The problem of marshaling political support was beyond the s"&amp;"cope of our discussion but must inform future development of the policy framework.")</f>
        <v>Any pathway to a net-zero-carbon energy system in the United States will require a staggering build-out of infrastructure for electricity generation and transmission, zero-carbon fuels, and carbon sequestration. To date, however, there has been hardly any conversation among policy analysts, let alone high-level policymakers, about how such a massive infrastructure initiative should be undertaken. We have abundant evidence that our existing system for electricity infrastructure expansion is slow, inefficient, and expensive. In a spring 2021 workshop, the Niskanen Center and the Clean Air Task Force convened a group of practitioners, advocates, and academics to consider how the nation can achieve such an unprecedented infrastructure build-out, using electricity transmission as a case study. This paper summarizes some key themes and policy ideas from that workshop. A central framing concept is that policy for transmission infrastructure is traditionally structured around the three “Ps”: planning, permitting, and paying. One important step forward would be to incorporate two additional Ps in policy design: participation (to include the perspectives and needs of the full range of stakeholders, especially local communities) and process (to provide a standard framework to spur project development and investment with clear expectations and accountability mechanisms). There was also broad support for the idea that a national transmission plan is needed to establish a clear set of goals and metrics across the many entities involved in moving electricity. From this foundation (3+2 “Ps” and a national plan) we describe a range of policy elements, then present two sample policy models for consideration, one emphasizing private enterprise and the other public initiative. While the objectives of the two sample initiatives are consistent, such as addressing conflicts in siting and permitting, they differ in the extent of federal authority that would be invoked. The problem of marshaling political support was beyond the scope of our discussion but must inform future development of the policy framework.</v>
      </c>
      <c r="I51" s="1" t="str">
        <f>IFERROR(__xludf.DUMMYFUNCTION("""COMPUTED_VALUE"""),"Henman WWU")</f>
        <v>Henman WWU</v>
      </c>
      <c r="J51" s="1" t="str">
        <f>IFERROR(__xludf.DUMMYFUNCTION("""COMPUTED_VALUE"""),"1 (due   )")</f>
        <v>1 (due   )</v>
      </c>
      <c r="K51" s="5" t="str">
        <f>IFERROR(__xludf.DUMMYFUNCTION("""COMPUTED_VALUE"""),"https://drive.google.com/open?id=1nKaJrt_D_18_W-1U2Ac5j7F6E6IRFfi0")</f>
        <v>https://drive.google.com/open?id=1nKaJrt_D_18_W-1U2Ac5j7F6E6IRFfi0</v>
      </c>
      <c r="L51" s="3" t="s">
        <v>2</v>
      </c>
    </row>
    <row r="52">
      <c r="A52" s="4">
        <f>IFERROR(__xludf.DUMMYFUNCTION("""COMPUTED_VALUE"""),45526.609932314816)</f>
        <v>45526.60993</v>
      </c>
      <c r="B52" s="1" t="str">
        <f>IFERROR(__xludf.DUMMYFUNCTION("""COMPUTED_VALUE"""),"carter.henman@gmail.com")</f>
        <v>carter.henman@gmail.com</v>
      </c>
      <c r="C52" s="1" t="str">
        <f>IFERROR(__xludf.DUMMYFUNCTION("""COMPUTED_VALUE"""),"Huber, M. T. (2022). Proletarian ecology: Working-class interests and the struggle for a Green New Deal. In Climate change as class war: Building socialism on a warming planet. Verso. ")</f>
        <v>Huber, M. T. (2022). Proletarian ecology: Working-class interests and the struggle for a Green New Deal. In Climate change as class war: Building socialism on a warming planet. Verso. </v>
      </c>
      <c r="D52" s="1" t="str">
        <f>IFERROR(__xludf.DUMMYFUNCTION("""COMPUTED_VALUE"""),"Professor of Geography and the Environment at Syracuse University")</f>
        <v>Professor of Geography and the Environment at Syracuse University</v>
      </c>
      <c r="E52" s="1" t="str">
        <f>IFERROR(__xludf.DUMMYFUNCTION("""COMPUTED_VALUE"""),"AFFIRMATIVE")</f>
        <v>AFFIRMATIVE</v>
      </c>
      <c r="F52" s="1" t="str">
        <f>IFERROR(__xludf.DUMMYFUNCTION("""COMPUTED_VALUE"""),"National Electric Transmission Plan")</f>
        <v>National Electric Transmission Plan</v>
      </c>
      <c r="G52" s="1" t="str">
        <f>IFERROR(__xludf.DUMMYFUNCTION("""COMPUTED_VALUE"""),"Argues the working class has objective interest in ending the climate crisis caused by capitalism and should be mobilized behind a program of state-led expropriation of fossil capital.")</f>
        <v>Argues the working class has objective interest in ending the climate crisis caused by capitalism and should be mobilized behind a program of state-led expropriation of fossil capital.</v>
      </c>
      <c r="H52" s="1"/>
      <c r="I52" s="1" t="str">
        <f>IFERROR(__xludf.DUMMYFUNCTION("""COMPUTED_VALUE"""),"Henman WWU")</f>
        <v>Henman WWU</v>
      </c>
      <c r="J52" s="1" t="str">
        <f>IFERROR(__xludf.DUMMYFUNCTION("""COMPUTED_VALUE"""),"1 (due   )")</f>
        <v>1 (due   )</v>
      </c>
      <c r="K52" s="5" t="str">
        <f>IFERROR(__xludf.DUMMYFUNCTION("""COMPUTED_VALUE"""),"https://drive.google.com/open?id=1v2WHd0_9320Ro1sKDHhknSYI8CxN6S2y")</f>
        <v>https://drive.google.com/open?id=1v2WHd0_9320Ro1sKDHhknSYI8CxN6S2y</v>
      </c>
      <c r="L52" s="3" t="s">
        <v>2</v>
      </c>
    </row>
    <row r="53">
      <c r="A53" s="4">
        <f>IFERROR(__xludf.DUMMYFUNCTION("""COMPUTED_VALUE"""),45526.61447947916)</f>
        <v>45526.61448</v>
      </c>
      <c r="B53" s="1" t="str">
        <f>IFERROR(__xludf.DUMMYFUNCTION("""COMPUTED_VALUE"""),"carter.henman@gmail.com")</f>
        <v>carter.henman@gmail.com</v>
      </c>
      <c r="C53" s="1" t="str">
        <f>IFERROR(__xludf.DUMMYFUNCTION("""COMPUTED_VALUE"""),"Huber, M. T. (2022). Electrifying the climate movement: The case for electricity as a strategic sector. In Climate change as class war: Building socialism on a warming planet. Verso. ")</f>
        <v>Huber, M. T. (2022). Electrifying the climate movement: The case for electricity as a strategic sector. In Climate change as class war: Building socialism on a warming planet. Verso. </v>
      </c>
      <c r="D53" s="1" t="str">
        <f>IFERROR(__xludf.DUMMYFUNCTION("""COMPUTED_VALUE"""),"Professor of Geography and the Environment at Syracuse University")</f>
        <v>Professor of Geography and the Environment at Syracuse University</v>
      </c>
      <c r="E53" s="1" t="str">
        <f>IFERROR(__xludf.DUMMYFUNCTION("""COMPUTED_VALUE"""),"AFFIRMATIVE")</f>
        <v>AFFIRMATIVE</v>
      </c>
      <c r="F53" s="1" t="str">
        <f>IFERROR(__xludf.DUMMYFUNCTION("""COMPUTED_VALUE"""),"National Electric Transmission Plan")</f>
        <v>National Electric Transmission Plan</v>
      </c>
      <c r="G53" s="1" t="str">
        <f>IFERROR(__xludf.DUMMYFUNCTION("""COMPUTED_VALUE"""),"Argues workers can win a just transition through the strategy of building public power in the electricity sector. Leverage is increased by greater grid centralization and wider electrification. ")</f>
        <v>Argues workers can win a just transition through the strategy of building public power in the electricity sector. Leverage is increased by greater grid centralization and wider electrification. </v>
      </c>
      <c r="H53" s="1"/>
      <c r="I53" s="1" t="str">
        <f>IFERROR(__xludf.DUMMYFUNCTION("""COMPUTED_VALUE"""),"Henman WWU")</f>
        <v>Henman WWU</v>
      </c>
      <c r="J53" s="1" t="str">
        <f>IFERROR(__xludf.DUMMYFUNCTION("""COMPUTED_VALUE"""),"1 (due   )")</f>
        <v>1 (due   )</v>
      </c>
      <c r="K53" s="5" t="str">
        <f>IFERROR(__xludf.DUMMYFUNCTION("""COMPUTED_VALUE"""),"https://drive.google.com/open?id=18yrG1o6WkWZQ7wwvGfPdarfZumKaBHLy")</f>
        <v>https://drive.google.com/open?id=18yrG1o6WkWZQ7wwvGfPdarfZumKaBHLy</v>
      </c>
      <c r="L53" s="3" t="s">
        <v>2</v>
      </c>
    </row>
    <row r="54">
      <c r="A54" s="4">
        <f>IFERROR(__xludf.DUMMYFUNCTION("""COMPUTED_VALUE"""),45526.62415688657)</f>
        <v>45526.62416</v>
      </c>
      <c r="B54" s="1" t="str">
        <f>IFERROR(__xludf.DUMMYFUNCTION("""COMPUTED_VALUE"""),"carter.henman@gmail.com")</f>
        <v>carter.henman@gmail.com</v>
      </c>
      <c r="C54" s="1" t="str">
        <f>IFERROR(__xludf.DUMMYFUNCTION("""COMPUTED_VALUE"""),"Huber, M. (2023, July 4). No Hollywood ending for the Green New Deal. Verso. https://www.versobooks.com/blogs/news/5539-no-hollywood-ending-for-the-green-new-deal?srsltid=AfmBOopcJGz5hpwoCI_HrTcoleC6WGdq3BWOe_9pKRN88")</f>
        <v>Huber, M. (2023, July 4). No Hollywood ending for the Green New Deal. Verso. https://www.versobooks.com/blogs/news/5539-no-hollywood-ending-for-the-green-new-deal?srsltid=AfmBOopcJGz5hpwoCI_HrTcoleC6WGdq3BWOe_9pKRN88</v>
      </c>
      <c r="D54" s="1" t="str">
        <f>IFERROR(__xludf.DUMMYFUNCTION("""COMPUTED_VALUE"""),"Professor of Geography and the Environment at Syracuse University")</f>
        <v>Professor of Geography and the Environment at Syracuse University</v>
      </c>
      <c r="E54" s="1" t="str">
        <f>IFERROR(__xludf.DUMMYFUNCTION("""COMPUTED_VALUE"""),"AFFIRMATIVE")</f>
        <v>AFFIRMATIVE</v>
      </c>
      <c r="F54" s="1" t="str">
        <f>IFERROR(__xludf.DUMMYFUNCTION("""COMPUTED_VALUE"""),"National Electric Transmission Plan")</f>
        <v>National Electric Transmission Plan</v>
      </c>
      <c r="G54" s="1" t="str">
        <f>IFERROR(__xludf.DUMMYFUNCTION("""COMPUTED_VALUE"""),"Argues that the reason the climate movement and GND is losing now is because of it has based itself on the ideas of in professional class activism instead of the working class.")</f>
        <v>Argues that the reason the climate movement and GND is losing now is because of it has based itself on the ideas of in professional class activism instead of the working class.</v>
      </c>
      <c r="H54" s="1"/>
      <c r="I54" s="1" t="str">
        <f>IFERROR(__xludf.DUMMYFUNCTION("""COMPUTED_VALUE"""),"Henman WWU")</f>
        <v>Henman WWU</v>
      </c>
      <c r="J54" s="1" t="str">
        <f>IFERROR(__xludf.DUMMYFUNCTION("""COMPUTED_VALUE"""),"1 (due   )")</f>
        <v>1 (due   )</v>
      </c>
      <c r="K54" s="5" t="str">
        <f>IFERROR(__xludf.DUMMYFUNCTION("""COMPUTED_VALUE"""),"https://drive.google.com/open?id=1TKgcnnnGHhxIeu9RCwgeJwWdscSghLao")</f>
        <v>https://drive.google.com/open?id=1TKgcnnnGHhxIeu9RCwgeJwWdscSghLao</v>
      </c>
      <c r="L54" s="3" t="s">
        <v>2</v>
      </c>
    </row>
    <row r="55">
      <c r="A55" s="4">
        <f>IFERROR(__xludf.DUMMYFUNCTION("""COMPUTED_VALUE"""),45526.646917986116)</f>
        <v>45526.64692</v>
      </c>
      <c r="B55" s="1" t="str">
        <f>IFERROR(__xludf.DUMMYFUNCTION("""COMPUTED_VALUE"""),"carter.henman@gmail.com")</f>
        <v>carter.henman@gmail.com</v>
      </c>
      <c r="C55" s="1" t="str">
        <f>IFERROR(__xludf.DUMMYFUNCTION("""COMPUTED_VALUE"""),"Huber, M.T., &amp; Stafford, F. (2023). Socialist Politics and the Electricity Grid. Catalyst, 6(4), 62–93.")</f>
        <v>Huber, M.T., &amp; Stafford, F. (2023). Socialist Politics and the Electricity Grid. Catalyst, 6(4), 62–93.</v>
      </c>
      <c r="D55" s="1" t="str">
        <f>IFERROR(__xludf.DUMMYFUNCTION("""COMPUTED_VALUE"""),"Professor of Geography and the Environment at Syracuse University; STEM professional, Editor of Damage Magazine, contributor to the Breakthrough Institute;")</f>
        <v>Professor of Geography and the Environment at Syracuse University; STEM professional, Editor of Damage Magazine, contributor to the Breakthrough Institute;</v>
      </c>
      <c r="E55" s="1" t="str">
        <f>IFERROR(__xludf.DUMMYFUNCTION("""COMPUTED_VALUE"""),"AFFIRMATIVE")</f>
        <v>AFFIRMATIVE</v>
      </c>
      <c r="F55" s="1" t="str">
        <f>IFERROR(__xludf.DUMMYFUNCTION("""COMPUTED_VALUE"""),"National Electric Transmission Plan")</f>
        <v>National Electric Transmission Plan</v>
      </c>
      <c r="G55" s="1" t="str">
        <f>IFERROR(__xludf.DUMMYFUNCTION("""COMPUTED_VALUE"""),"Public ownership over the electrical grid to facilitate reliable, centralized, zero-carbon energy aligns ecological and labor interests. The alt. is alliance between renewable advocates and capital.")</f>
        <v>Public ownership over the electrical grid to facilitate reliable, centralized, zero-carbon energy aligns ecological and labor interests. The alt. is alliance between renewable advocates and capital.</v>
      </c>
      <c r="H55" s="1" t="str">
        <f>IFERROR(__xludf.DUMMYFUNCTION("""COMPUTED_VALUE"""),"Market and climate chaos reveal electricity as a key site of struggle in the twenty-first century. The capitalist class and the Left are both split between capitalist utilities and unions on one side and big tech, renewable capital, and green NGOs on the "&amp;"other. The socialist path is with labor.")</f>
        <v>Market and climate chaos reveal electricity as a key site of struggle in the twenty-first century. The capitalist class and the Left are both split between capitalist utilities and unions on one side and big tech, renewable capital, and green NGOs on the other. The socialist path is with labor.</v>
      </c>
      <c r="I55" s="1" t="str">
        <f>IFERROR(__xludf.DUMMYFUNCTION("""COMPUTED_VALUE"""),"Henman WWU")</f>
        <v>Henman WWU</v>
      </c>
      <c r="J55" s="1" t="str">
        <f>IFERROR(__xludf.DUMMYFUNCTION("""COMPUTED_VALUE"""),"1 (due   )")</f>
        <v>1 (due   )</v>
      </c>
      <c r="K55" s="5" t="str">
        <f>IFERROR(__xludf.DUMMYFUNCTION("""COMPUTED_VALUE"""),"https://drive.google.com/open?id=1ntvP4P4NRgV7PRup059r6HtYCCRznbsq")</f>
        <v>https://drive.google.com/open?id=1ntvP4P4NRgV7PRup059r6HtYCCRznbsq</v>
      </c>
      <c r="L55" s="3" t="s">
        <v>2</v>
      </c>
    </row>
    <row r="56">
      <c r="A56" s="4">
        <f>IFERROR(__xludf.DUMMYFUNCTION("""COMPUTED_VALUE"""),45526.65772112268)</f>
        <v>45526.65772</v>
      </c>
      <c r="B56" s="1" t="str">
        <f>IFERROR(__xludf.DUMMYFUNCTION("""COMPUTED_VALUE"""),"carter.henman@gmail.com")</f>
        <v>carter.henman@gmail.com</v>
      </c>
      <c r="C56" s="1" t="str">
        <f>IFERROR(__xludf.DUMMYFUNCTION("""COMPUTED_VALUE"""),"Sica, C. E., (2020). For a radical Green New Deal: Energy, the means of production, and the capitalist state. Capitalism, Nature, Socialism, 31(4), 34-51. https://doi.org/10.1080/10455752.2019.1692049")</f>
        <v>Sica, C. E., (2020). For a radical Green New Deal: Energy, the means of production, and the capitalist state. Capitalism, Nature, Socialism, 31(4), 34-51. https://doi.org/10.1080/10455752.2019.1692049</v>
      </c>
      <c r="D56" s="1" t="str">
        <f>IFERROR(__xludf.DUMMYFUNCTION("""COMPUTED_VALUE"""),"Instructor, Dept. of Geography and the Environment, Syracuse University; ")</f>
        <v>Instructor, Dept. of Geography and the Environment, Syracuse University; </v>
      </c>
      <c r="E56" s="1" t="str">
        <f>IFERROR(__xludf.DUMMYFUNCTION("""COMPUTED_VALUE"""),"AFFIRMATIVE")</f>
        <v>AFFIRMATIVE</v>
      </c>
      <c r="F56" s="1" t="str">
        <f>IFERROR(__xludf.DUMMYFUNCTION("""COMPUTED_VALUE"""),"National Electric Transmission Plan")</f>
        <v>National Electric Transmission Plan</v>
      </c>
      <c r="G56" s="1" t="str">
        <f>IFERROR(__xludf.DUMMYFUNCTION("""COMPUTED_VALUE"""),"Additional solvency for the ""socialism in one sector"" strategy, this article also provides answers to rollback/capital strike arguments.")</f>
        <v>Additional solvency for the "socialism in one sector" strategy, this article also provides answers to rollback/capital strike arguments.</v>
      </c>
      <c r="H56" s="1" t="str">
        <f>IFERROR(__xludf.DUMMYFUNCTION("""COMPUTED_VALUE"""),"
The Green New Deal (GND) has emerged on the national stage as a plan to address climate change by reforming the energy system. It would be hugely expensive, and likely involve the redistribution of accumulated wealth from the bourgeoisie, and controls on"&amp;" carbon-intensive fractions of capital. The GND would also threaten the bourgeoisie by democratizing the means of the production in the energy sector, and possibly inspiring a wider referendum on capitalism itself. Anticipating attacks on the GND by capit"&amp;"al, I propose that workers’ needs be placed at its center. I make this case by explaining how capital exerts power over the state, how labor can fight capital using strikes, and how the proletariat could force the bourgeoisie to submit to a state-led GND."&amp;" Along the way I make the case for broadening the scholarship that focuses on energy’s importance to the state by explaining energy’s importance as a vital means of production and not mainly as a source of rent.")</f>
        <v>
The Green New Deal (GND) has emerged on the national stage as a plan to address climate change by reforming the energy system. It would be hugely expensive, and likely involve the redistribution of accumulated wealth from the bourgeoisie, and controls on carbon-intensive fractions of capital. The GND would also threaten the bourgeoisie by democratizing the means of the production in the energy sector, and possibly inspiring a wider referendum on capitalism itself. Anticipating attacks on the GND by capital, I propose that workers’ needs be placed at its center. I make this case by explaining how capital exerts power over the state, how labor can fight capital using strikes, and how the proletariat could force the bourgeoisie to submit to a state-led GND. Along the way I make the case for broadening the scholarship that focuses on energy’s importance to the state by explaining energy’s importance as a vital means of production and not mainly as a source of rent.</v>
      </c>
      <c r="I56" s="1" t="str">
        <f>IFERROR(__xludf.DUMMYFUNCTION("""COMPUTED_VALUE"""),"Henman WWU")</f>
        <v>Henman WWU</v>
      </c>
      <c r="J56" s="1" t="str">
        <f>IFERROR(__xludf.DUMMYFUNCTION("""COMPUTED_VALUE"""),"1 (due   )")</f>
        <v>1 (due   )</v>
      </c>
      <c r="K56" s="5" t="str">
        <f>IFERROR(__xludf.DUMMYFUNCTION("""COMPUTED_VALUE"""),"https://drive.google.com/open?id=1623DT-571Nym2fTrxSqqYC9f5y16Jl7M")</f>
        <v>https://drive.google.com/open?id=1623DT-571Nym2fTrxSqqYC9f5y16Jl7M</v>
      </c>
      <c r="L56" s="3" t="s">
        <v>2</v>
      </c>
    </row>
    <row r="57">
      <c r="A57" s="4">
        <f>IFERROR(__xludf.DUMMYFUNCTION("""COMPUTED_VALUE"""),45526.66989546297)</f>
        <v>45526.6699</v>
      </c>
      <c r="B57" s="1" t="str">
        <f>IFERROR(__xludf.DUMMYFUNCTION("""COMPUTED_VALUE"""),"carter.henman@gmail.com")</f>
        <v>carter.henman@gmail.com</v>
      </c>
      <c r="C57" s="1" t="str">
        <f>IFERROR(__xludf.DUMMYFUNCTION("""COMPUTED_VALUE"""),"Ismail, F., (2023). Averting catastrophe: crisis, class and climate change. Critical Sociology, 49(7-8), 1337–1342. https://doi.org/10.1177/08969205231177178")</f>
        <v>Ismail, F., (2023). Averting catastrophe: crisis, class and climate change. Critical Sociology, 49(7-8), 1337–1342. https://doi.org/10.1177/08969205231177178</v>
      </c>
      <c r="D57" s="1" t="str">
        <f>IFERROR(__xludf.DUMMYFUNCTION("""COMPUTED_VALUE"""),"Lecturer in Global Policy and Activism, Dept. of Media, Communications and Cultural Studies, Goldsmiths University of London")</f>
        <v>Lecturer in Global Policy and Activism, Dept. of Media, Communications and Cultural Studies, Goldsmiths University of London</v>
      </c>
      <c r="E57" s="1" t="str">
        <f>IFERROR(__xludf.DUMMYFUNCTION("""COMPUTED_VALUE"""),"AFFIRMATIVE")</f>
        <v>AFFIRMATIVE</v>
      </c>
      <c r="F57" s="1" t="str">
        <f>IFERROR(__xludf.DUMMYFUNCTION("""COMPUTED_VALUE"""),"National Electric Transmission Plan")</f>
        <v>National Electric Transmission Plan</v>
      </c>
      <c r="G57" s="1" t="str">
        <f>IFERROR(__xludf.DUMMYFUNCTION("""COMPUTED_VALUE"""),"Contributes strong impact language, corroborates the need for a class focus and how it relates to identity, and relates climate/class struggles in the US to international developments.")</f>
        <v>Contributes strong impact language, corroborates the need for a class focus and how it relates to identity, and relates climate/class struggles in the US to international developments.</v>
      </c>
      <c r="H57" s="1"/>
      <c r="I57" s="1" t="str">
        <f>IFERROR(__xludf.DUMMYFUNCTION("""COMPUTED_VALUE"""),"Henman WWU")</f>
        <v>Henman WWU</v>
      </c>
      <c r="J57" s="1" t="str">
        <f>IFERROR(__xludf.DUMMYFUNCTION("""COMPUTED_VALUE"""),"1 (due   )")</f>
        <v>1 (due   )</v>
      </c>
      <c r="K57" s="5" t="str">
        <f>IFERROR(__xludf.DUMMYFUNCTION("""COMPUTED_VALUE"""),"https://drive.google.com/open?id=1qqFeJe6RUgBTbp-BecOT926jEiB8IGtT")</f>
        <v>https://drive.google.com/open?id=1qqFeJe6RUgBTbp-BecOT926jEiB8IGtT</v>
      </c>
      <c r="L57" s="3" t="s">
        <v>2</v>
      </c>
    </row>
    <row r="58">
      <c r="A58" s="4">
        <f>IFERROR(__xludf.DUMMYFUNCTION("""COMPUTED_VALUE"""),45526.67705868055)</f>
        <v>45526.67706</v>
      </c>
      <c r="B58" s="1" t="str">
        <f>IFERROR(__xludf.DUMMYFUNCTION("""COMPUTED_VALUE"""),"carter.henman@gmail.com")</f>
        <v>carter.henman@gmail.com</v>
      </c>
      <c r="C58" s="1" t="str">
        <f>IFERROR(__xludf.DUMMYFUNCTION("""COMPUTED_VALUE"""),"Maher, S., &amp; McEvoy, J. K., (2023). Between de-growth and eco-modernism: theorizing a green transition. Critical Sociology, 49(7-8), 1323–1330. https://doi.org/10.1177/08969205231177370")</f>
        <v>Maher, S., &amp; McEvoy, J. K., (2023). Between de-growth and eco-modernism: theorizing a green transition. Critical Sociology, 49(7-8), 1323–1330. https://doi.org/10.1177/08969205231177370</v>
      </c>
      <c r="D58" s="1" t="str">
        <f>IFERROR(__xludf.DUMMYFUNCTION("""COMPUTED_VALUE"""),"Assistant Professor of Economics, SUNY Cortland; SSHRC Doctoral Fellow in International Relations in the Department of Political Studies at Queen’s University;")</f>
        <v>Assistant Professor of Economics, SUNY Cortland; SSHRC Doctoral Fellow in International Relations in the Department of Political Studies at Queen’s University;</v>
      </c>
      <c r="E58" s="1" t="str">
        <f>IFERROR(__xludf.DUMMYFUNCTION("""COMPUTED_VALUE"""),"NEGATIVE")</f>
        <v>NEGATIVE</v>
      </c>
      <c r="F58" s="1" t="str">
        <f>IFERROR(__xludf.DUMMYFUNCTION("""COMPUTED_VALUE"""),"National Electric Transmission Plan")</f>
        <v>National Electric Transmission Plan</v>
      </c>
      <c r="G58" s="1" t="str">
        <f>IFERROR(__xludf.DUMMYFUNCTION("""COMPUTED_VALUE"""),"Questions whether Huber's radical social democratic politics are capable of leading to the full-scale social transformation necessary to solve climate change and overcome capitalism.")</f>
        <v>Questions whether Huber's radical social democratic politics are capable of leading to the full-scale social transformation necessary to solve climate change and overcome capitalism.</v>
      </c>
      <c r="H58" s="1"/>
      <c r="I58" s="1" t="str">
        <f>IFERROR(__xludf.DUMMYFUNCTION("""COMPUTED_VALUE"""),"Henman WWU")</f>
        <v>Henman WWU</v>
      </c>
      <c r="J58" s="1" t="str">
        <f>IFERROR(__xludf.DUMMYFUNCTION("""COMPUTED_VALUE"""),"1 (due   )")</f>
        <v>1 (due   )</v>
      </c>
      <c r="K58" s="5" t="str">
        <f>IFERROR(__xludf.DUMMYFUNCTION("""COMPUTED_VALUE"""),"https://drive.google.com/open?id=1fXxEDwY10X00ES6ca8E3R81I6d0TpPt8")</f>
        <v>https://drive.google.com/open?id=1fXxEDwY10X00ES6ca8E3R81I6d0TpPt8</v>
      </c>
      <c r="L58" s="3" t="s">
        <v>2</v>
      </c>
    </row>
    <row r="59">
      <c r="A59" s="4">
        <f>IFERROR(__xludf.DUMMYFUNCTION("""COMPUTED_VALUE"""),45526.685064930556)</f>
        <v>45526.68506</v>
      </c>
      <c r="B59" s="1" t="str">
        <f>IFERROR(__xludf.DUMMYFUNCTION("""COMPUTED_VALUE"""),"carter.henman@gmail.com")</f>
        <v>carter.henman@gmail.com</v>
      </c>
      <c r="C59" s="1" t="str">
        <f>IFERROR(__xludf.DUMMYFUNCTION("""COMPUTED_VALUE"""),"Levien, M., (2023). White energy workers of the north, unite? A review of Huber's Climate Change as Class War. Historical Materialism. https://www.historicalmaterialism.org/white-energy-workers-of-the-north-unite-a-review-of-hubers-climate-change-as-class"&amp;"-war/")</f>
        <v>Levien, M., (2023). White energy workers of the north, unite? A review of Huber's Climate Change as Class War. Historical Materialism. https://www.historicalmaterialism.org/white-energy-workers-of-the-north-unite-a-review-of-hubers-climate-change-as-class-war/</v>
      </c>
      <c r="D59" s="1" t="str">
        <f>IFERROR(__xludf.DUMMYFUNCTION("""COMPUTED_VALUE"""),"Associate Professor of Sociology at Johns Hopkins")</f>
        <v>Associate Professor of Sociology at Johns Hopkins</v>
      </c>
      <c r="E59" s="1" t="str">
        <f>IFERROR(__xludf.DUMMYFUNCTION("""COMPUTED_VALUE"""),"NEGATIVE")</f>
        <v>NEGATIVE</v>
      </c>
      <c r="F59" s="1" t="str">
        <f>IFERROR(__xludf.DUMMYFUNCTION("""COMPUTED_VALUE"""),"National Electric Transmission Plan")</f>
        <v>National Electric Transmission Plan</v>
      </c>
      <c r="G59" s="1" t="str">
        <f>IFERROR(__xludf.DUMMYFUNCTION("""COMPUTED_VALUE"""),"Critique's Huber's class focus for sidelining the role of coalitions of marginalized groups including Indigenous climate activists and Black-led environmental justice groups in favor of  white workers")</f>
        <v>Critique's Huber's class focus for sidelining the role of coalitions of marginalized groups including Indigenous climate activists and Black-led environmental justice groups in favor of  white workers</v>
      </c>
      <c r="H59" s="1"/>
      <c r="I59" s="1" t="str">
        <f>IFERROR(__xludf.DUMMYFUNCTION("""COMPUTED_VALUE"""),"Henman WWU")</f>
        <v>Henman WWU</v>
      </c>
      <c r="J59" s="1" t="str">
        <f>IFERROR(__xludf.DUMMYFUNCTION("""COMPUTED_VALUE"""),"1 (due   )")</f>
        <v>1 (due   )</v>
      </c>
      <c r="K59" s="5" t="str">
        <f>IFERROR(__xludf.DUMMYFUNCTION("""COMPUTED_VALUE"""),"https://drive.google.com/open?id=1X2evN_3VUXCAc397aP9j1w-rdFRXe6tf")</f>
        <v>https://drive.google.com/open?id=1X2evN_3VUXCAc397aP9j1w-rdFRXe6tf</v>
      </c>
      <c r="L59" s="3" t="s">
        <v>2</v>
      </c>
    </row>
    <row r="60">
      <c r="A60" s="4">
        <f>IFERROR(__xludf.DUMMYFUNCTION("""COMPUTED_VALUE"""),45526.69533456019)</f>
        <v>45526.69533</v>
      </c>
      <c r="B60" s="1" t="str">
        <f>IFERROR(__xludf.DUMMYFUNCTION("""COMPUTED_VALUE"""),"carter.henman@gmail.com")</f>
        <v>carter.henman@gmail.com</v>
      </c>
      <c r="C60" s="1" t="str">
        <f>IFERROR(__xludf.DUMMYFUNCTION("""COMPUTED_VALUE"""),"Huber, M. T., (2023, April 20). The professional class vanguard of climate justice: A response to Michael Levien’s review of Climate change as class war: Building socialism on a warming planet. Historical Materialism. https://www.historicalmaterialism.org"&amp;"/the-professional-class-vanguard-of-climate-justice-a-response-to-michael-leviens-review-of-climate-change-as-class-war-building-socialism-on-a-warming-planet/")</f>
        <v>Huber, M. T., (2023, April 20). The professional class vanguard of climate justice: A response to Michael Levien’s review of Climate change as class war: Building socialism on a warming planet. Historical Materialism. https://www.historicalmaterialism.org/the-professional-class-vanguard-of-climate-justice-a-response-to-michael-leviens-review-of-climate-change-as-class-war-building-socialism-on-a-warming-planet/</v>
      </c>
      <c r="D60" s="1" t="str">
        <f>IFERROR(__xludf.DUMMYFUNCTION("""COMPUTED_VALUE"""),"Professor of Geography and the Environment at Syracuse University")</f>
        <v>Professor of Geography and the Environment at Syracuse University</v>
      </c>
      <c r="E60" s="1" t="str">
        <f>IFERROR(__xludf.DUMMYFUNCTION("""COMPUTED_VALUE"""),"AFFIRMATIVE")</f>
        <v>AFFIRMATIVE</v>
      </c>
      <c r="F60" s="1" t="str">
        <f>IFERROR(__xludf.DUMMYFUNCTION("""COMPUTED_VALUE"""),"National Electric Transmission Plan")</f>
        <v>National Electric Transmission Plan</v>
      </c>
      <c r="G60" s="1" t="str">
        <f>IFERROR(__xludf.DUMMYFUNCTION("""COMPUTED_VALUE"""),"Response to Michael Levien: class focus does not center white workers and the use of identity politics to shut down critique of petit bourgeois climate activism only benefits capitalists")</f>
        <v>Response to Michael Levien: class focus does not center white workers and the use of identity politics to shut down critique of petit bourgeois climate activism only benefits capitalists</v>
      </c>
      <c r="H60" s="1"/>
      <c r="I60" s="1" t="str">
        <f>IFERROR(__xludf.DUMMYFUNCTION("""COMPUTED_VALUE"""),"Henman WWU")</f>
        <v>Henman WWU</v>
      </c>
      <c r="J60" s="1" t="str">
        <f>IFERROR(__xludf.DUMMYFUNCTION("""COMPUTED_VALUE"""),"1 (due   )")</f>
        <v>1 (due   )</v>
      </c>
      <c r="K60" s="5" t="str">
        <f>IFERROR(__xludf.DUMMYFUNCTION("""COMPUTED_VALUE"""),"https://drive.google.com/open?id=1dOcAyXo-c28u8NhCzCQ8zn5Iig6ZSfv4")</f>
        <v>https://drive.google.com/open?id=1dOcAyXo-c28u8NhCzCQ8zn5Iig6ZSfv4</v>
      </c>
      <c r="L60" s="3" t="s">
        <v>2</v>
      </c>
    </row>
    <row r="61">
      <c r="A61" s="4">
        <f>IFERROR(__xludf.DUMMYFUNCTION("""COMPUTED_VALUE"""),45526.70640866898)</f>
        <v>45526.70641</v>
      </c>
      <c r="B61" s="1" t="str">
        <f>IFERROR(__xludf.DUMMYFUNCTION("""COMPUTED_VALUE"""),"carter.henman@gmail.com")</f>
        <v>carter.henman@gmail.com</v>
      </c>
      <c r="C61" s="1" t="str">
        <f>IFERROR(__xludf.DUMMYFUNCTION("""COMPUTED_VALUE"""),"Huber, M. T., (2023). Reflections on climate, class, and strategy. Critical Sociology, 49(7-8), 1343–1349. https://doi.org/10.1177/08969205231189452 ")</f>
        <v>Huber, M. T., (2023). Reflections on climate, class, and strategy. Critical Sociology, 49(7-8), 1343–1349. https://doi.org/10.1177/08969205231189452 </v>
      </c>
      <c r="D61" s="1" t="str">
        <f>IFERROR(__xludf.DUMMYFUNCTION("""COMPUTED_VALUE"""),"Professor of Geography and the Environment at Syracuse University")</f>
        <v>Professor of Geography and the Environment at Syracuse University</v>
      </c>
      <c r="E61" s="1" t="str">
        <f>IFERROR(__xludf.DUMMYFUNCTION("""COMPUTED_VALUE"""),"AFFIRMATIVE")</f>
        <v>AFFIRMATIVE</v>
      </c>
      <c r="F61" s="1" t="str">
        <f>IFERROR(__xludf.DUMMYFUNCTION("""COMPUTED_VALUE"""),"National Electric Transmission Plan")</f>
        <v>National Electric Transmission Plan</v>
      </c>
      <c r="G61" s="1" t="str">
        <f>IFERROR(__xludf.DUMMYFUNCTION("""COMPUTED_VALUE"""),"Response to Maher and McEvoy: class struggle social democracy is a necessary prerequisite to broader socialist transformation; also contains answers to degrowth, solvency for internationalism")</f>
        <v>Response to Maher and McEvoy: class struggle social democracy is a necessary prerequisite to broader socialist transformation; also contains answers to degrowth, solvency for internationalism</v>
      </c>
      <c r="H61" s="1"/>
      <c r="I61" s="1" t="str">
        <f>IFERROR(__xludf.DUMMYFUNCTION("""COMPUTED_VALUE"""),"Henman WWU")</f>
        <v>Henman WWU</v>
      </c>
      <c r="J61" s="1" t="str">
        <f>IFERROR(__xludf.DUMMYFUNCTION("""COMPUTED_VALUE"""),"1 (due   )")</f>
        <v>1 (due   )</v>
      </c>
      <c r="K61" s="5" t="str">
        <f>IFERROR(__xludf.DUMMYFUNCTION("""COMPUTED_VALUE"""),"https://drive.google.com/open?id=1ll5jCWL8cyKGWkUbQFXwN1pdp-ONyQd9")</f>
        <v>https://drive.google.com/open?id=1ll5jCWL8cyKGWkUbQFXwN1pdp-ONyQd9</v>
      </c>
      <c r="L61" s="3" t="s">
        <v>2</v>
      </c>
    </row>
    <row r="62">
      <c r="A62" s="4">
        <f>IFERROR(__xludf.DUMMYFUNCTION("""COMPUTED_VALUE"""),45526.872739756946)</f>
        <v>45526.87274</v>
      </c>
      <c r="B62" s="1" t="str">
        <f>IFERROR(__xludf.DUMMYFUNCTION("""COMPUTED_VALUE"""),"carter.henman@gmail.com")</f>
        <v>carter.henman@gmail.com</v>
      </c>
      <c r="C62" s="1" t="str">
        <f>IFERROR(__xludf.DUMMYFUNCTION("""COMPUTED_VALUE"""),"Pirani, S. (2024). Socialism and electricity: Renewables and decentralization versus nuclear. Capitalism Nature Socialism. https://doi.org/10.1080/10455752.2024.2384789")</f>
        <v>Pirani, S. (2024). Socialism and electricity: Renewables and decentralization versus nuclear. Capitalism Nature Socialism. https://doi.org/10.1080/10455752.2024.2384789</v>
      </c>
      <c r="D62" s="1" t="str">
        <f>IFERROR(__xludf.DUMMYFUNCTION("""COMPUTED_VALUE"""),"honorary professor in the School of Modern Languages and Cultures at the University of Durham")</f>
        <v>honorary professor in the School of Modern Languages and Cultures at the University of Durham</v>
      </c>
      <c r="E62" s="1" t="str">
        <f>IFERROR(__xludf.DUMMYFUNCTION("""COMPUTED_VALUE"""),"NEGATIVE")</f>
        <v>NEGATIVE</v>
      </c>
      <c r="F62" s="1" t="str">
        <f>IFERROR(__xludf.DUMMYFUNCTION("""COMPUTED_VALUE"""),"National Electric Transmission Plan")</f>
        <v>National Electric Transmission Plan</v>
      </c>
      <c r="G62" s="1" t="str">
        <f>IFERROR(__xludf.DUMMYFUNCTION("""COMPUTED_VALUE"""),"Critique of Huber and Stafford's emphasis on a centralized power grid including nuclear, argues socialist politics are more compatible with decentralized renewables.")</f>
        <v>Critique of Huber and Stafford's emphasis on a centralized power grid including nuclear, argues socialist politics are more compatible with decentralized renewables.</v>
      </c>
      <c r="H62" s="1" t="str">
        <f>IFERROR(__xludf.DUMMYFUNCTION("""COMPUTED_VALUE"""),"A socialist energy supply system should be based on centralised electricity generation, primarily from nuclear power, Matthew Huber and Fred Stafford argue. They propose only a minor role for wind and solar, and see decentralised renewables as unworthy of"&amp;" support. Huber further contends that neoliberalism fostered decentralised renewables, while undermining centralised generation, and socialists seduced by “green” thinking have unwittingly become neoliberalism’s allies. In this response, I propose that nu"&amp;"clear power has been opposed by socialists for good reasons: it requires a strong state, and is inherently linked to the military. The trend towards decentralisation of electricity networks has been underway for decades; claims that it is at odds with pub"&amp;"lic ownership or socialist principles are unfounded. Portraying renewables as a burden on existing networks is misleading. Instead, we need discussion of whether, and how, socialism can challenge capital’s control of these electricity technologies, includ"&amp;"ing decentralised renewables, and turn them to our advantage. The potential of decentralised networks to enhance forms of common ownership and decommodification needs to be tested. Claims that renewables are, by comparison to nuclear, inherently inimical "&amp;"to labour organisation or public ownership, or that they are historically underpinned by neoliberal ideology, are baseless.")</f>
        <v>A socialist energy supply system should be based on centralised electricity generation, primarily from nuclear power, Matthew Huber and Fred Stafford argue. They propose only a minor role for wind and solar, and see decentralised renewables as unworthy of support. Huber further contends that neoliberalism fostered decentralised renewables, while undermining centralised generation, and socialists seduced by “green” thinking have unwittingly become neoliberalism’s allies. In this response, I propose that nuclear power has been opposed by socialists for good reasons: it requires a strong state, and is inherently linked to the military. The trend towards decentralisation of electricity networks has been underway for decades; claims that it is at odds with public ownership or socialist principles are unfounded. Portraying renewables as a burden on existing networks is misleading. Instead, we need discussion of whether, and how, socialism can challenge capital’s control of these electricity technologies, including decentralised renewables, and turn them to our advantage. The potential of decentralised networks to enhance forms of common ownership and decommodification needs to be tested. Claims that renewables are, by comparison to nuclear, inherently inimical to labour organisation or public ownership, or that they are historically underpinned by neoliberal ideology, are baseless.</v>
      </c>
      <c r="I62" s="1" t="str">
        <f>IFERROR(__xludf.DUMMYFUNCTION("""COMPUTED_VALUE"""),"Henman WWU")</f>
        <v>Henman WWU</v>
      </c>
      <c r="J62" s="1" t="str">
        <f>IFERROR(__xludf.DUMMYFUNCTION("""COMPUTED_VALUE"""),"1 (due   )")</f>
        <v>1 (due   )</v>
      </c>
      <c r="K62" s="5" t="str">
        <f>IFERROR(__xludf.DUMMYFUNCTION("""COMPUTED_VALUE"""),"https://drive.google.com/open?id=1aopDWtXzhBQLOq91pemOINrMrYhWMFWG")</f>
        <v>https://drive.google.com/open?id=1aopDWtXzhBQLOq91pemOINrMrYhWMFWG</v>
      </c>
      <c r="L62" s="3" t="s">
        <v>2</v>
      </c>
    </row>
    <row r="63">
      <c r="A63" s="4">
        <f>IFERROR(__xludf.DUMMYFUNCTION("""COMPUTED_VALUE"""),45529.5570184838)</f>
        <v>45529.55702</v>
      </c>
      <c r="B63" s="1" t="str">
        <f>IFERROR(__xludf.DUMMYFUNCTION("""COMPUTED_VALUE"""),"ryanrodell@gmail.com")</f>
        <v>ryanrodell@gmail.com</v>
      </c>
      <c r="C63" s="1" t="str">
        <f>IFERROR(__xludf.DUMMYFUNCTION("""COMPUTED_VALUE"""),"Department of Energy. (2023). National Transmission Needs Study. https://www.energy.gov/sites/default/files/2023-12/National Transmission Needs Study - Final_2023.12.1.pdf ")</f>
        <v>Department of Energy. (2023). National Transmission Needs Study. https://www.energy.gov/sites/default/files/2023-12/National Transmission Needs Study - Final_2023.12.1.pdf </v>
      </c>
      <c r="D63" s="1" t="str">
        <f>IFERROR(__xludf.DUMMYFUNCTION("""COMPUTED_VALUE"""),"The Department of Energy is the United States' authoritative energy bureau. It is the highest authority on issues concerning energy, transmission, and pollution domestically.")</f>
        <v>The Department of Energy is the United States' authoritative energy bureau. It is the highest authority on issues concerning energy, transmission, and pollution domestically.</v>
      </c>
      <c r="E63" s="1" t="str">
        <f>IFERROR(__xludf.DUMMYFUNCTION("""COMPUTED_VALUE"""),"AFFIRMATIVE")</f>
        <v>AFFIRMATIVE</v>
      </c>
      <c r="F63" s="1" t="str">
        <f>IFERROR(__xludf.DUMMYFUNCTION("""COMPUTED_VALUE"""),"National Electric Transmission Plan")</f>
        <v>National Electric Transmission Plan</v>
      </c>
      <c r="G63" s="1" t="str">
        <f>IFERROR(__xludf.DUMMYFUNCTION("""COMPUTED_VALUE"""),"Document provides a policy-first approach and analysis of inherency issues. Concerns primarily policy, with problems and solutions for national energy transmission plans included across 294 pages. ")</f>
        <v>Document provides a policy-first approach and analysis of inherency issues. Concerns primarily policy, with problems and solutions for national energy transmission plans included across 294 pages. </v>
      </c>
      <c r="H63" s="1"/>
      <c r="I63" s="1" t="str">
        <f>IFERROR(__xludf.DUMMYFUNCTION("""COMPUTED_VALUE"""),"Rodell Hillsdale")</f>
        <v>Rodell Hillsdale</v>
      </c>
      <c r="J63" s="1" t="str">
        <f>IFERROR(__xludf.DUMMYFUNCTION("""COMPUTED_VALUE"""),"1 (due   )")</f>
        <v>1 (due   )</v>
      </c>
      <c r="K63" s="5" t="str">
        <f>IFERROR(__xludf.DUMMYFUNCTION("""COMPUTED_VALUE"""),"https://drive.google.com/open?id=1pkNLzzTxhMdIOlvtmA1imAejW16nsDkr")</f>
        <v>https://drive.google.com/open?id=1pkNLzzTxhMdIOlvtmA1imAejW16nsDkr</v>
      </c>
      <c r="L63" s="3" t="s">
        <v>2</v>
      </c>
    </row>
    <row r="64">
      <c r="A64" s="4">
        <f>IFERROR(__xludf.DUMMYFUNCTION("""COMPUTED_VALUE"""),45529.562417361114)</f>
        <v>45529.56242</v>
      </c>
      <c r="B64" s="1" t="str">
        <f>IFERROR(__xludf.DUMMYFUNCTION("""COMPUTED_VALUE"""),"ryanrodell@gmail.com")</f>
        <v>ryanrodell@gmail.com</v>
      </c>
      <c r="C64" s="1" t="str">
        <f>IFERROR(__xludf.DUMMYFUNCTION("""COMPUTED_VALUE"""),"McWard, A. (2023, December 19). Electric Transmission Planning: A Primer for ... NCSL. https://documents.ncsl.org/wwwncsl/Environment/NCSL-Electric-Transmission-Planning-Primer_Alex%20McWard.pdf ")</f>
        <v>McWard, A. (2023, December 19). Electric Transmission Planning: A Primer for ... NCSL. https://documents.ncsl.org/wwwncsl/Environment/NCSL-Electric-Transmission-Planning-Primer_Alex%20McWard.pdf </v>
      </c>
      <c r="D64" s="1" t="str">
        <f>IFERROR(__xludf.DUMMYFUNCTION("""COMPUTED_VALUE"""),"Policy Specialist at the National Conference of State Legislatures")</f>
        <v>Policy Specialist at the National Conference of State Legislatures</v>
      </c>
      <c r="E64" s="1" t="str">
        <f>IFERROR(__xludf.DUMMYFUNCTION("""COMPUTED_VALUE"""),"AFFIRMATIVE")</f>
        <v>AFFIRMATIVE</v>
      </c>
      <c r="F64" s="1" t="str">
        <f>IFERROR(__xludf.DUMMYFUNCTION("""COMPUTED_VALUE"""),"National Electric Transmission Plan")</f>
        <v>National Electric Transmission Plan</v>
      </c>
      <c r="G64" s="1" t="str">
        <f>IFERROR(__xludf.DUMMYFUNCTION("""COMPUTED_VALUE"""),"Policy-focus on inherent, underlying problems with the current regional and state transmission plans as well as privately-owned transmission plans (i.e., Texas) and proposes the Aff would solve.")</f>
        <v>Policy-focus on inherent, underlying problems with the current regional and state transmission plans as well as privately-owned transmission plans (i.e., Texas) and proposes the Aff would solve.</v>
      </c>
      <c r="H64" s="1"/>
      <c r="I64" s="1" t="str">
        <f>IFERROR(__xludf.DUMMYFUNCTION("""COMPUTED_VALUE"""),"Rodell Hillsdale")</f>
        <v>Rodell Hillsdale</v>
      </c>
      <c r="J64" s="1" t="str">
        <f>IFERROR(__xludf.DUMMYFUNCTION("""COMPUTED_VALUE"""),"1 (due   )")</f>
        <v>1 (due   )</v>
      </c>
      <c r="K64" s="5" t="str">
        <f>IFERROR(__xludf.DUMMYFUNCTION("""COMPUTED_VALUE"""),"https://drive.google.com/open?id=1WJ00t6sIs4TOSz4uaJtSkgUXbeCbJaQ7")</f>
        <v>https://drive.google.com/open?id=1WJ00t6sIs4TOSz4uaJtSkgUXbeCbJaQ7</v>
      </c>
      <c r="L64" s="3" t="s">
        <v>2</v>
      </c>
    </row>
    <row r="65">
      <c r="A65" s="4">
        <f>IFERROR(__xludf.DUMMYFUNCTION("""COMPUTED_VALUE"""),45529.67888006945)</f>
        <v>45529.67888</v>
      </c>
      <c r="B65" s="1" t="str">
        <f>IFERROR(__xludf.DUMMYFUNCTION("""COMPUTED_VALUE"""),"riley.rosalie@gmail.com")</f>
        <v>riley.rosalie@gmail.com</v>
      </c>
      <c r="C65" s="1" t="str">
        <f>IFERROR(__xludf.DUMMYFUNCTION("""COMPUTED_VALUE"""),"John, J. (17 May 2023). “Biden’s got a plan for ramping up energy transmission,” Canary Media, https://www.canarymedia.com/articles/transmission/bidens-got-a-plan-for-ramping-up-energy-transmission")</f>
        <v>John, J. (17 May 2023). “Biden’s got a plan for ramping up energy transmission,” Canary Media, https://www.canarymedia.com/articles/transmission/bidens-got-a-plan-for-ramping-up-energy-transmission</v>
      </c>
      <c r="D65" s="1" t="str">
        <f>IFERROR(__xludf.DUMMYFUNCTION("""COMPUTED_VALUE"""),"Director of News and Special Projects at Canary Media, a clean energy journalism firm, M.A. in Journalism from the University of California, Berkeley.")</f>
        <v>Director of News and Special Projects at Canary Media, a clean energy journalism firm, M.A. in Journalism from the University of California, Berkeley.</v>
      </c>
      <c r="E65" s="1" t="str">
        <f>IFERROR(__xludf.DUMMYFUNCTION("""COMPUTED_VALUE"""),"NEGATIVE")</f>
        <v>NEGATIVE</v>
      </c>
      <c r="F65" s="1" t="str">
        <f>IFERROR(__xludf.DUMMYFUNCTION("""COMPUTED_VALUE"""),"National Electric Transmission Plan")</f>
        <v>National Electric Transmission Plan</v>
      </c>
      <c r="G65" s="1" t="str">
        <f>IFERROR(__xludf.DUMMYFUNCTION("""COMPUTED_VALUE"""),"Plan takes too long to develop to stop/solve climate change impacts - permitting, bottleneck of requests, provides examples of this already happening in the squo")</f>
        <v>Plan takes too long to develop to stop/solve climate change impacts - permitting, bottleneck of requests, provides examples of this already happening in the squo</v>
      </c>
      <c r="H65" s="1"/>
      <c r="I65" s="1" t="str">
        <f>IFERROR(__xludf.DUMMYFUNCTION("""COMPUTED_VALUE"""),"Talamantes WSU")</f>
        <v>Talamantes WSU</v>
      </c>
      <c r="J65" s="1" t="str">
        <f>IFERROR(__xludf.DUMMYFUNCTION("""COMPUTED_VALUE"""),"1 (due   )")</f>
        <v>1 (due   )</v>
      </c>
      <c r="K65" s="5" t="str">
        <f>IFERROR(__xludf.DUMMYFUNCTION("""COMPUTED_VALUE"""),"https://drive.google.com/open?id=1gyke9CqWrU4Wc3HlZbUE3ZMw2Ju-hw1u")</f>
        <v>https://drive.google.com/open?id=1gyke9CqWrU4Wc3HlZbUE3ZMw2Ju-hw1u</v>
      </c>
      <c r="L65" s="3" t="s">
        <v>2</v>
      </c>
    </row>
    <row r="66">
      <c r="A66" s="4">
        <f>IFERROR(__xludf.DUMMYFUNCTION("""COMPUTED_VALUE"""),45530.793321087964)</f>
        <v>45530.79332</v>
      </c>
      <c r="B66" s="1" t="str">
        <f>IFERROR(__xludf.DUMMYFUNCTION("""COMPUTED_VALUE"""),"leybasam@gmail.com")</f>
        <v>leybasam@gmail.com</v>
      </c>
      <c r="C66" s="1" t="str">
        <f>IFERROR(__xludf.DUMMYFUNCTION("""COMPUTED_VALUE"""),"Welton, Shelley (2024). Governing the Grid for the Future: The Case for a Federal Grid Planning Authority")</f>
        <v>Welton, Shelley (2024). Governing the Grid for the Future: The Case for a Federal Grid Planning Authority</v>
      </c>
      <c r="D66" s="1" t="str">
        <f>IFERROR(__xludf.DUMMYFUNCTION("""COMPUTED_VALUE"""),"U. of Penn Carey School of Law and Kleinman Center for Energy Policy")</f>
        <v>U. of Penn Carey School of Law and Kleinman Center for Energy Policy</v>
      </c>
      <c r="E66" s="1" t="str">
        <f>IFERROR(__xludf.DUMMYFUNCTION("""COMPUTED_VALUE"""),"AFFIRMATIVE")</f>
        <v>AFFIRMATIVE</v>
      </c>
      <c r="F66" s="1" t="str">
        <f>IFERROR(__xludf.DUMMYFUNCTION("""COMPUTED_VALUE"""),"National Electric Transmission Plan")</f>
        <v>National Electric Transmission Plan</v>
      </c>
      <c r="G66" s="1" t="str">
        <f>IFERROR(__xludf.DUMMYFUNCTION("""COMPUTED_VALUE"""),"This document will be the main solvency advocate for any transmission aff.")</f>
        <v>This document will be the main solvency advocate for any transmission aff.</v>
      </c>
      <c r="H66" s="1" t="str">
        <f>IFERROR(__xludf.DUMMYFUNCTION("""COMPUTED_VALUE"""),"The U.S. electricity grid is nearing crisis mode, plagued by a suite of challenges including lengthy delays in interconnecting new resources, insufficient regional and interregional transmission expansion, and increasing reliability concerns. This policy "&amp;"proposal argues that these problems confronting the grid should be understood centrally as a challenge of governance. For-profit companies have too large a role in the long-term, systemic planning of the electricity grid, causing U.S. consumers to dramati"&amp;"cally overspend on grid projects that serve incumbents’ financial interests but do not efficiently or effectively accomplish public goals for the system. Recent reforms improve grid planning at the margins but do not adequately address underlying governan"&amp;"ce concerns. To remedy these governance flaws, the paper proposes the creation of a public grid planning authority to develop grid expansion plans in the national interest, accompanied by changes to grid oversight to enable more scrutiny of proposed utili"&amp;"ty projects that do not align with national and regional plans. After laying out how legislation could create an ideal public grid planning entity, the paper explores how federal energy agencies could accomplish a similar set of governance reforms through"&amp;" more effective use of existing legal authorities. These changes would benefit communities across the country by containing the cost of electricity while enabling a cleaner and more resilient energy system.")</f>
        <v>The U.S. electricity grid is nearing crisis mode, plagued by a suite of challenges including lengthy delays in interconnecting new resources, insufficient regional and interregional transmission expansion, and increasing reliability concerns. This policy proposal argues that these problems confronting the grid should be understood centrally as a challenge of governance. For-profit companies have too large a role in the long-term, systemic planning of the electricity grid, causing U.S. consumers to dramatically overspend on grid projects that serve incumbents’ financial interests but do not efficiently or effectively accomplish public goals for the system. Recent reforms improve grid planning at the margins but do not adequately address underlying governance concerns. To remedy these governance flaws, the paper proposes the creation of a public grid planning authority to develop grid expansion plans in the national interest, accompanied by changes to grid oversight to enable more scrutiny of proposed utility projects that do not align with national and regional plans. After laying out how legislation could create an ideal public grid planning entity, the paper explores how federal energy agencies could accomplish a similar set of governance reforms through more effective use of existing legal authorities. These changes would benefit communities across the country by containing the cost of electricity while enabling a cleaner and more resilient energy system.</v>
      </c>
      <c r="I66" s="1" t="str">
        <f>IFERROR(__xludf.DUMMYFUNCTION("""COMPUTED_VALUE"""),"Leyba UO")</f>
        <v>Leyba UO</v>
      </c>
      <c r="J66" s="1" t="str">
        <f>IFERROR(__xludf.DUMMYFUNCTION("""COMPUTED_VALUE"""),"1 (due   )")</f>
        <v>1 (due   )</v>
      </c>
      <c r="K66" s="5" t="str">
        <f>IFERROR(__xludf.DUMMYFUNCTION("""COMPUTED_VALUE"""),"https://drive.google.com/open?id=1TpebIY64gM8JUL8uIMiWmRNC4S6OfuUT")</f>
        <v>https://drive.google.com/open?id=1TpebIY64gM8JUL8uIMiWmRNC4S6OfuUT</v>
      </c>
      <c r="L66" s="3" t="s">
        <v>2</v>
      </c>
    </row>
    <row r="67">
      <c r="A67" s="4">
        <f>IFERROR(__xludf.DUMMYFUNCTION("""COMPUTED_VALUE"""),45530.80021717593)</f>
        <v>45530.80022</v>
      </c>
      <c r="B67" s="1" t="str">
        <f>IFERROR(__xludf.DUMMYFUNCTION("""COMPUTED_VALUE"""),"leybasam@gmail.com")</f>
        <v>leybasam@gmail.com</v>
      </c>
      <c r="C67" s="1" t="str">
        <f>IFERROR(__xludf.DUMMYFUNCTION("""COMPUTED_VALUE"""),"Decker, Kevin (2013) Allocating Power: Toward a New Federalism Balance for Electricity Transmission Siting")</f>
        <v>Decker, Kevin (2013) Allocating Power: Toward a New Federalism Balance for Electricity Transmission Siting</v>
      </c>
      <c r="D67" s="1" t="str">
        <f>IFERROR(__xludf.DUMMYFUNCTION("""COMPUTED_VALUE"""),"Unavailable")</f>
        <v>Unavailable</v>
      </c>
      <c r="E67" s="1" t="str">
        <f>IFERROR(__xludf.DUMMYFUNCTION("""COMPUTED_VALUE"""),"MIXED")</f>
        <v>MIXED</v>
      </c>
      <c r="F67" s="1" t="str">
        <f>IFERROR(__xludf.DUMMYFUNCTION("""COMPUTED_VALUE"""),"National Electric Transmission Plan")</f>
        <v>National Electric Transmission Plan</v>
      </c>
      <c r="G67" s="1" t="str">
        <f>IFERROR(__xludf.DUMMYFUNCTION("""COMPUTED_VALUE"""),"Offers Affirmative Solvency and Neg Counterplan ground")</f>
        <v>Offers Affirmative Solvency and Neg Counterplan ground</v>
      </c>
      <c r="H67" s="1" t="str">
        <f>IFERROR(__xludf.DUMMYFUNCTION("""COMPUTED_VALUE"""),"For more than twenty years, the Federal Energy Regulation Commission (FERC) has sought to increase open access to electricity transmission infrastructure owned by incumbent monopolistic utilities. While these efforts have produced some benefits, incumbent"&amp;" transmission line owners continue to exercise market power that allows them to deter and delay streamlined open transmission access. In an effort to minimize the incumbents’ anticompetitive force, FERC passed a law eliminating a federal right of first re"&amp;"fusal (ROFR), which had given incumbents preferential rights to build and profit from new regional transmission infrastructure. States responded to FERC’s actions by creating their own state ROFR, which will allow incumbent utilities to expand the scope o"&amp;"f their monopolies. Frustrated by FERC’s acquiescence to the new state laws, an independent transmission developer has challenged a Minnesota ROFR on Dormant Commerce Clause grounds. The resolution of the lawsuit could have profound impacts on the transit"&amp;"ion to a decarbonized, multi-scalar, competitive energy system. ")</f>
        <v>For more than twenty years, the Federal Energy Regulation Commission (FERC) has sought to increase open access to electricity transmission infrastructure owned by incumbent monopolistic utilities. While these efforts have produced some benefits, incumbent transmission line owners continue to exercise market power that allows them to deter and delay streamlined open transmission access. In an effort to minimize the incumbents’ anticompetitive force, FERC passed a law eliminating a federal right of first refusal (ROFR), which had given incumbents preferential rights to build and profit from new regional transmission infrastructure. States responded to FERC’s actions by creating their own state ROFR, which will allow incumbent utilities to expand the scope of their monopolies. Frustrated by FERC’s acquiescence to the new state laws, an independent transmission developer has challenged a Minnesota ROFR on Dormant Commerce Clause grounds. The resolution of the lawsuit could have profound impacts on the transition to a decarbonized, multi-scalar, competitive energy system. </v>
      </c>
      <c r="I67" s="1" t="str">
        <f>IFERROR(__xludf.DUMMYFUNCTION("""COMPUTED_VALUE"""),"Leyba")</f>
        <v>Leyba</v>
      </c>
      <c r="J67" s="1" t="str">
        <f>IFERROR(__xludf.DUMMYFUNCTION("""COMPUTED_VALUE"""),"1 (due   )")</f>
        <v>1 (due   )</v>
      </c>
      <c r="K67" s="5" t="str">
        <f>IFERROR(__xludf.DUMMYFUNCTION("""COMPUTED_VALUE"""),"https://drive.google.com/open?id=1Iii0jo6QPqT_-lpMU0G95Ji0iUBNlaup")</f>
        <v>https://drive.google.com/open?id=1Iii0jo6QPqT_-lpMU0G95Ji0iUBNlaup</v>
      </c>
      <c r="L67" s="3" t="s">
        <v>2</v>
      </c>
    </row>
    <row r="68">
      <c r="A68" s="4">
        <f>IFERROR(__xludf.DUMMYFUNCTION("""COMPUTED_VALUE"""),45530.80759815972)</f>
        <v>45530.8076</v>
      </c>
      <c r="B68" s="1" t="str">
        <f>IFERROR(__xludf.DUMMYFUNCTION("""COMPUTED_VALUE"""),"leybasam@gmail.com")</f>
        <v>leybasam@gmail.com</v>
      </c>
      <c r="C68" s="1" t="str">
        <f>IFERROR(__xludf.DUMMYFUNCTION("""COMPUTED_VALUE"""),"Klass, A. et al. (2022) Grid Reliability Through Clean energy")</f>
        <v>Klass, A. et al. (2022) Grid Reliability Through Clean energy</v>
      </c>
      <c r="D68" s="1" t="str">
        <f>IFERROR(__xludf.DUMMYFUNCTION("""COMPUTED_VALUE"""),"unavailable")</f>
        <v>unavailable</v>
      </c>
      <c r="E68" s="1" t="str">
        <f>IFERROR(__xludf.DUMMYFUNCTION("""COMPUTED_VALUE"""),"AFFIRMATIVE")</f>
        <v>AFFIRMATIVE</v>
      </c>
      <c r="F68" s="1" t="str">
        <f>IFERROR(__xludf.DUMMYFUNCTION("""COMPUTED_VALUE"""),"National Electric Transmission Plan")</f>
        <v>National Electric Transmission Plan</v>
      </c>
      <c r="G68" s="1" t="str">
        <f>IFERROR(__xludf.DUMMYFUNCTION("""COMPUTED_VALUE"""),"Great for advantages!")</f>
        <v>Great for advantages!</v>
      </c>
      <c r="H68" s="1" t="str">
        <f>IFERROR(__xludf.DUMMYFUNCTION("""COMPUTED_VALUE"""),"In the wake of recent high-profile power failures, policymakers and politicians have asserted that there is an inherent tension between the aims of clean energy and grid reliability. But continuing to rely on fossil fuels to avoid system outages will only"&amp;" exacerbate reliability challenges by contributing to increasingly extreme climate-related weather events. These extremes will disrupt the power supply, with impacts rippling far beyond the electricity sector.
This Article shows that much of the perceive"&amp;"d tension between clean energy and reliability is a failure of law and governance resulting from the United States' siloed approach to regulating the electric grid. Energy regulation is, we argue, siloed across three dimensions: (l) across substantive res"&amp;"ponsibilities (clean energy versus reliability); (2) across jurisdictions (federal, regional, state, and sometimes local); and (3) across a public-private continuum of actors. This segmentation renders the full convergence of clean-energy and reliability "&amp;"goals extremely difficult. Reliability-focused organizations operating within their silos routinely counteract climate policies when making decisions about how to keep the lights on. Similarly, legal silos often cause states and regional organizations to "&amp;"neglect valuable opportunities for collaboration.
Despite the challenges posed by this disaggregated system, conceptualizing the sphere of energy reliability as siloed across these dimensions unlocks new possibilities for reform. We do not propose upendi"&amp;"ng energy law silos or making energy institutions wholly public. Rather, we argue for calibrated reforms to U.S. energy law and governance that shift authority within and among the silos to integrate the twin aims of reliability and low-carbon energy. Acr"&amp;"oss the key policy areas of electricity markets, transmission planning and siting, reliability regulation, and regional grid governance, we assess changes that would integrate climate and reliability imperatives; balance state, regional, and federal juris"&amp;"diction; and reconcile public and private values. We believe this approach to energy law reform offers a holistic and realistic formula for a cleaner, more reliable grid.")</f>
        <v>In the wake of recent high-profile power failures, policymakers and politicians have asserted that there is an inherent tension between the aims of clean energy and grid reliability. But continuing to rely on fossil fuels to avoid system outages will only exacerbate reliability challenges by contributing to increasingly extreme climate-related weather events. These extremes will disrupt the power supply, with impacts rippling far beyond the electricity sector.
This Article shows that much of the perceived tension between clean energy and reliability is a failure of law and governance resulting from the United States' siloed approach to regulating the electric grid. Energy regulation is, we argue, siloed across three dimensions: (l) across substantive responsibilities (clean energy versus reliability); (2) across jurisdictions (federal, regional, state, and sometimes local); and (3) across a public-private continuum of actors. This segmentation renders the full convergence of clean-energy and reliability goals extremely difficult. Reliability-focused organizations operating within their silos routinely counteract climate policies when making decisions about how to keep the lights on. Similarly, legal silos often cause states and regional organizations to neglect valuable opportunities for collaboration.
Despite the challenges posed by this disaggregated system, conceptualizing the sphere of energy reliability as siloed across these dimensions unlocks new possibilities for reform. We do not propose upending energy law silos or making energy institutions wholly public. Rather, we argue for calibrated reforms to U.S. energy law and governance that shift authority within and among the silos to integrate the twin aims of reliability and low-carbon energy. Across the key policy areas of electricity markets, transmission planning and siting, reliability regulation, and regional grid governance, we assess changes that would integrate climate and reliability imperatives; balance state, regional, and federal jurisdiction; and reconcile public and private values. We believe this approach to energy law reform offers a holistic and realistic formula for a cleaner, more reliable grid.</v>
      </c>
      <c r="I68" s="1" t="str">
        <f>IFERROR(__xludf.DUMMYFUNCTION("""COMPUTED_VALUE"""),"Leyba")</f>
        <v>Leyba</v>
      </c>
      <c r="J68" s="1" t="str">
        <f>IFERROR(__xludf.DUMMYFUNCTION("""COMPUTED_VALUE"""),"1 (due   )")</f>
        <v>1 (due   )</v>
      </c>
      <c r="K68" s="5" t="str">
        <f>IFERROR(__xludf.DUMMYFUNCTION("""COMPUTED_VALUE"""),"https://drive.google.com/open?id=18Sww1dDoO3CqEr1moPwpeZkhM-Ua7kAs")</f>
        <v>https://drive.google.com/open?id=18Sww1dDoO3CqEr1moPwpeZkhM-Ua7kAs</v>
      </c>
      <c r="L68" s="3" t="s">
        <v>2</v>
      </c>
    </row>
    <row r="69">
      <c r="A69" s="4">
        <f>IFERROR(__xludf.DUMMYFUNCTION("""COMPUTED_VALUE"""),45530.80915615741)</f>
        <v>45530.80916</v>
      </c>
      <c r="B69" s="1" t="str">
        <f>IFERROR(__xludf.DUMMYFUNCTION("""COMPUTED_VALUE"""),"leybasam@gmail.com")</f>
        <v>leybasam@gmail.com</v>
      </c>
      <c r="C69" s="1" t="str">
        <f>IFERROR(__xludf.DUMMYFUNCTION("""COMPUTED_VALUE"""),"Institute for Energy Research (2024). Bidens Initiatives to Accelerate grid Expansion")</f>
        <v>Institute for Energy Research (2024). Bidens Initiatives to Accelerate grid Expansion</v>
      </c>
      <c r="D69" s="1" t="str">
        <f>IFERROR(__xludf.DUMMYFUNCTION("""COMPUTED_VALUE"""),"Energy Policy Think Tank")</f>
        <v>Energy Policy Think Tank</v>
      </c>
      <c r="E69" s="1" t="str">
        <f>IFERROR(__xludf.DUMMYFUNCTION("""COMPUTED_VALUE"""),"MIXED")</f>
        <v>MIXED</v>
      </c>
      <c r="F69" s="1" t="str">
        <f>IFERROR(__xludf.DUMMYFUNCTION("""COMPUTED_VALUE"""),"National Electric Transmission Plan")</f>
        <v>National Electric Transmission Plan</v>
      </c>
      <c r="G69" s="1" t="str">
        <f>IFERROR(__xludf.DUMMYFUNCTION("""COMPUTED_VALUE"""),"Uniqueness for the aff/neg. Describes the current state of transmission policy")</f>
        <v>Uniqueness for the aff/neg. Describes the current state of transmission policy</v>
      </c>
      <c r="H69" s="1"/>
      <c r="I69" s="1" t="str">
        <f>IFERROR(__xludf.DUMMYFUNCTION("""COMPUTED_VALUE"""),"Leyba")</f>
        <v>Leyba</v>
      </c>
      <c r="J69" s="1" t="str">
        <f>IFERROR(__xludf.DUMMYFUNCTION("""COMPUTED_VALUE"""),"1 (due   )")</f>
        <v>1 (due   )</v>
      </c>
      <c r="K69" s="5" t="str">
        <f>IFERROR(__xludf.DUMMYFUNCTION("""COMPUTED_VALUE"""),"https://drive.google.com/open?id=1FDFwITC6H3gWIIUiciuoUPowC3x4sRyv")</f>
        <v>https://drive.google.com/open?id=1FDFwITC6H3gWIIUiciuoUPowC3x4sRyv</v>
      </c>
      <c r="L69" s="3" t="s">
        <v>2</v>
      </c>
    </row>
    <row r="70">
      <c r="A70" s="4">
        <f>IFERROR(__xludf.DUMMYFUNCTION("""COMPUTED_VALUE"""),45530.81091497686)</f>
        <v>45530.81091</v>
      </c>
      <c r="B70" s="1" t="str">
        <f>IFERROR(__xludf.DUMMYFUNCTION("""COMPUTED_VALUE"""),"leybasam@gmail.com")</f>
        <v>leybasam@gmail.com</v>
      </c>
      <c r="C70" s="1" t="str">
        <f>IFERROR(__xludf.DUMMYFUNCTION("""COMPUTED_VALUE"""),"Russo, T. (2021) Improving US Energy Security: Granting FERC Siting Authority over Interstate High Voltage Electric Transmission")</f>
        <v>Russo, T. (2021) Improving US Energy Security: Granting FERC Siting Authority over Interstate High Voltage Electric Transmission</v>
      </c>
      <c r="D70" s="1" t="str">
        <f>IFERROR(__xludf.DUMMYFUNCTION("""COMPUTED_VALUE"""),"Thomas N. Russo has over 30 years of experience in energy regulation, infrastructure, markets, environmental impact assessment, and energy security. Prior to starting Russo on Energy LLC, he worked for over 30 years as a manager and senior energy industry"&amp;" analyst at the Federal Energy Regulatory Commission. He also is an adjunct professor in the Elliott School of International Affairs at The George Washington University in Washington, DC, where he teaches courses in global energy and international energy "&amp;"and environmental regulations.")</f>
        <v>Thomas N. Russo has over 30 years of experience in energy regulation, infrastructure, markets, environmental impact assessment, and energy security. Prior to starting Russo on Energy LLC, he worked for over 30 years as a manager and senior energy industry analyst at the Federal Energy Regulatory Commission. He also is an adjunct professor in the Elliott School of International Affairs at The George Washington University in Washington, DC, where he teaches courses in global energy and international energy and environmental regulations.</v>
      </c>
      <c r="E70" s="1" t="str">
        <f>IFERROR(__xludf.DUMMYFUNCTION("""COMPUTED_VALUE"""),"NEGATIVE")</f>
        <v>NEGATIVE</v>
      </c>
      <c r="F70" s="1" t="str">
        <f>IFERROR(__xludf.DUMMYFUNCTION("""COMPUTED_VALUE"""),"National Electric Transmission Plan")</f>
        <v>National Electric Transmission Plan</v>
      </c>
      <c r="G70" s="1" t="str">
        <f>IFERROR(__xludf.DUMMYFUNCTION("""COMPUTED_VALUE"""),"Makes an argument for a NEPA trade off DA")</f>
        <v>Makes an argument for a NEPA trade off DA</v>
      </c>
      <c r="H70" s="1" t="str">
        <f>IFERROR(__xludf.DUMMYFUNCTION("""COMPUTED_VALUE"""),"The Biden Administration and the US
Congress are giving serious consideration
to granting the Federal Energy Regulatory
Commission (FERC) the authority to site high
voltage (HV) interstate electric transmission
lines. FERC already has authority under the
"&amp;"Natural Gas Act (NGA) to regulate the siting
of and rates charged by interstate natural gas
pipelines and storage facilities. Proponents
of giving FERC such additional authority point
to the extensive buildout of the natural gas
pipeline system. These pro"&amp;"ponents believe
that FERC could do the same with interstate HV
electric transmission.
While on the surface granting FERC such
additional siting authority over HV electric
transmission may appear logical, this author
believes it is a big mistake—that US en"&amp;"ergy
security would not improve, and even decline
under such FERC authority. The main reason
why this author is against transferring
interstate electric transmission to FERC is the
fact it would federalize all proposals, subject
them to the National Envir"&amp;"onmental Policy Act
(NEPA) and related delays, and ultimately give
the States de facto veto power over the timing
and the construction of these facilities. Such
a move without some meaningful changes
in existing laws, could likely provide a central
venue "&amp;"to opponents of energy infrastructure
that will prove administratively unwieldly for
FERC and other agencies to manage. The result
could be a longer and more litigious siting
process with the distraction of NEPA and few
projects ever being built.")</f>
        <v>The Biden Administration and the US
Congress are giving serious consideration
to granting the Federal Energy Regulatory
Commission (FERC) the authority to site high
voltage (HV) interstate electric transmission
lines. FERC already has authority under the
Natural Gas Act (NGA) to regulate the siting
of and rates charged by interstate natural gas
pipelines and storage facilities. Proponents
of giving FERC such additional authority point
to the extensive buildout of the natural gas
pipeline system. These proponents believe
that FERC could do the same with interstate HV
electric transmission.
While on the surface granting FERC such
additional siting authority over HV electric
transmission may appear logical, this author
believes it is a big mistake—that US energy
security would not improve, and even decline
under such FERC authority. The main reason
why this author is against transferring
interstate electric transmission to FERC is the
fact it would federalize all proposals, subject
them to the National Environmental Policy Act
(NEPA) and related delays, and ultimately give
the States de facto veto power over the timing
and the construction of these facilities. Such
a move without some meaningful changes
in existing laws, could likely provide a central
venue to opponents of energy infrastructure
that will prove administratively unwieldly for
FERC and other agencies to manage. The result
could be a longer and more litigious siting
process with the distraction of NEPA and few
projects ever being built.</v>
      </c>
      <c r="I70" s="1" t="str">
        <f>IFERROR(__xludf.DUMMYFUNCTION("""COMPUTED_VALUE"""),"Leyba")</f>
        <v>Leyba</v>
      </c>
      <c r="J70" s="1" t="str">
        <f>IFERROR(__xludf.DUMMYFUNCTION("""COMPUTED_VALUE"""),"1 (due   )")</f>
        <v>1 (due   )</v>
      </c>
      <c r="K70" s="5" t="str">
        <f>IFERROR(__xludf.DUMMYFUNCTION("""COMPUTED_VALUE"""),"https://drive.google.com/open?id=1bem2CuYf5WTtStxhfBrDTfW2du6JaRsm")</f>
        <v>https://drive.google.com/open?id=1bem2CuYf5WTtStxhfBrDTfW2du6JaRsm</v>
      </c>
      <c r="L70" s="3" t="s">
        <v>2</v>
      </c>
    </row>
    <row r="71">
      <c r="A71" s="4">
        <f>IFERROR(__xludf.DUMMYFUNCTION("""COMPUTED_VALUE"""),45530.813205196755)</f>
        <v>45530.81321</v>
      </c>
      <c r="B71" s="1" t="str">
        <f>IFERROR(__xludf.DUMMYFUNCTION("""COMPUTED_VALUE"""),"leybasam@gmail.com")</f>
        <v>leybasam@gmail.com</v>
      </c>
      <c r="C71" s="1" t="str">
        <f>IFERROR(__xludf.DUMMYFUNCTION("""COMPUTED_VALUE"""),"Reed, Lisa et al. (2021) How are we going to build all that clean energy infrastructure?")</f>
        <v>Reed, Lisa et al. (2021) How are we going to build all that clean energy infrastructure?</v>
      </c>
      <c r="D71" s="1" t="str">
        <f>IFERROR(__xludf.DUMMYFUNCTION("""COMPUTED_VALUE"""),"Research Manager for Low Carbon Technology Policy, Niskanen Center")</f>
        <v>Research Manager for Low Carbon Technology Policy, Niskanen Center</v>
      </c>
      <c r="E71" s="1" t="str">
        <f>IFERROR(__xludf.DUMMYFUNCTION("""COMPUTED_VALUE"""),"MIXED")</f>
        <v>MIXED</v>
      </c>
      <c r="F71" s="1" t="str">
        <f>IFERROR(__xludf.DUMMYFUNCTION("""COMPUTED_VALUE"""),"National Electric Transmission Plan")</f>
        <v>National Electric Transmission Plan</v>
      </c>
      <c r="G71" s="1" t="str">
        <f>IFERROR(__xludf.DUMMYFUNCTION("""COMPUTED_VALUE"""),"Provides Aff and neg counterplan ground")</f>
        <v>Provides Aff and neg counterplan ground</v>
      </c>
      <c r="H71" s="1"/>
      <c r="I71" s="1" t="str">
        <f>IFERROR(__xludf.DUMMYFUNCTION("""COMPUTED_VALUE"""),"Leyba")</f>
        <v>Leyba</v>
      </c>
      <c r="J71" s="1" t="str">
        <f>IFERROR(__xludf.DUMMYFUNCTION("""COMPUTED_VALUE"""),"1 (due   )")</f>
        <v>1 (due   )</v>
      </c>
      <c r="K71" s="5" t="str">
        <f>IFERROR(__xludf.DUMMYFUNCTION("""COMPUTED_VALUE"""),"https://drive.google.com/open?id=1cnP3WEgypLNiXnG_SseRaAF22ts3Dc9J")</f>
        <v>https://drive.google.com/open?id=1cnP3WEgypLNiXnG_SseRaAF22ts3Dc9J</v>
      </c>
      <c r="L71" s="3" t="s">
        <v>2</v>
      </c>
    </row>
    <row r="72">
      <c r="A72" s="4">
        <f>IFERROR(__xludf.DUMMYFUNCTION("""COMPUTED_VALUE"""),45527.517565682865)</f>
        <v>45527.51757</v>
      </c>
      <c r="B72" s="1" t="str">
        <f>IFERROR(__xludf.DUMMYFUNCTION("""COMPUTED_VALUE"""),"carter.henman@gmail.com")</f>
        <v>carter.henman@gmail.com</v>
      </c>
      <c r="C72" s="1" t="str">
        <f>IFERROR(__xludf.DUMMYFUNCTION("""COMPUTED_VALUE"""),"Chambers, C. L., (2021). A critique of the “socio‐ecological fix” and towards revolutionary rupture. Area, 53(1), 114–121. https://doi.org/10.1111/area.12668")</f>
        <v>Chambers, C. L., (2021). A critique of the “socio‐ecological fix” and towards revolutionary rupture. Area, 53(1), 114–121. https://doi.org/10.1111/area.12668</v>
      </c>
      <c r="D72" s="1" t="str">
        <f>IFERROR(__xludf.DUMMYFUNCTION("""COMPUTED_VALUE"""),"Graduate Student, Department of Geography and the Environment, Syracuse University")</f>
        <v>Graduate Student, Department of Geography and the Environment, Syracuse University</v>
      </c>
      <c r="E72" s="1" t="str">
        <f>IFERROR(__xludf.DUMMYFUNCTION("""COMPUTED_VALUE"""),"NEGATIVE")</f>
        <v>NEGATIVE</v>
      </c>
      <c r="F72" s="1" t="str">
        <f>IFERROR(__xludf.DUMMYFUNCTION("""COMPUTED_VALUE"""),"Orthodox Marxism K")</f>
        <v>Orthodox Marxism K</v>
      </c>
      <c r="G72" s="1" t="str">
        <f>IFERROR(__xludf.DUMMYFUNCTION("""COMPUTED_VALUE"""),"Emphasis on fixing the socio-ecological crisis under capitalism (up to and including the GND) fail to account for the severity of the crisis in the 21st century. There is only one solution: revolution")</f>
        <v>Emphasis on fixing the socio-ecological crisis under capitalism (up to and including the GND) fail to account for the severity of the crisis in the 21st century. There is only one solution: revolution</v>
      </c>
      <c r="H72" s="1" t="str">
        <f>IFERROR(__xludf.DUMMYFUNCTION("""COMPUTED_VALUE"""),"The “socio‐ecological fix” has become increasingly popular to understand a possi- ble and future energy transition off fossil fuels within the confines of capitalist social relations of production. The concept emerges and builds off David Har- vey’s famou"&amp;"s “spatial fix” concept to understand how capitalism can temporarily transcend the current climate crisis. The “socio‐ecological fix” helps see how cap- italist crises and fixes are economic and environmental at the same time, inter- twined together. Thro"&amp;"ugh a review of the literature that develops the “socio‐ ecological fix” concept, I make two clear arguments. First, I argue that the con- cept is trapped in a specific historical understanding of 20th‐century capitalism that goes through crisis and fixes"&amp;". According to this framework, from which the “socio‐ecological fix” functions within, the capitalist mode of production is here to stay indefinitely and can only be reformed through series of fixes. This under- standing of capitalism not only downplays c"&amp;"lass struggle but also has too much of a narrow sense of politics in the context of the ongoing climate crisis. Second, I argue that this understanding of history largely ignores the potential for revolu- tionary ruptures that create social systems entire"&amp;"ly at odds with capital. The sever- ity of the climate crisis suggests that moving further into the 21st century will not allow such clean fixes. The climate crisis will make revolutionary ruptures not only possible, but inevitable.")</f>
        <v>The “socio‐ecological fix” has become increasingly popular to understand a possi- ble and future energy transition off fossil fuels within the confines of capitalist social relations of production. The concept emerges and builds off David Har- vey’s famous “spatial fix” concept to understand how capitalism can temporarily transcend the current climate crisis. The “socio‐ecological fix” helps see how cap- italist crises and fixes are economic and environmental at the same time, inter- twined together. Through a review of the literature that develops the “socio‐ ecological fix” concept, I make two clear arguments. First, I argue that the con- cept is trapped in a specific historical understanding of 20th‐century capitalism that goes through crisis and fixes. According to this framework, from which the “socio‐ecological fix” functions within, the capitalist mode of production is here to stay indefinitely and can only be reformed through series of fixes. This under- standing of capitalism not only downplays class struggle but also has too much of a narrow sense of politics in the context of the ongoing climate crisis. Second, I argue that this understanding of history largely ignores the potential for revolu- tionary ruptures that create social systems entirely at odds with capital. The sever- ity of the climate crisis suggests that moving further into the 21st century will not allow such clean fixes. The climate crisis will make revolutionary ruptures not only possible, but inevitable.</v>
      </c>
      <c r="I72" s="1" t="str">
        <f>IFERROR(__xludf.DUMMYFUNCTION("""COMPUTED_VALUE"""),"Henman WWU")</f>
        <v>Henman WWU</v>
      </c>
      <c r="J72" s="1" t="str">
        <f>IFERROR(__xludf.DUMMYFUNCTION("""COMPUTED_VALUE"""),"1 (due   )")</f>
        <v>1 (due   )</v>
      </c>
      <c r="K72" s="5" t="str">
        <f>IFERROR(__xludf.DUMMYFUNCTION("""COMPUTED_VALUE"""),"https://drive.google.com/open?id=1DVn6mAdj2cLN2gQ54dbqiJPLYQfLlPOk")</f>
        <v>https://drive.google.com/open?id=1DVn6mAdj2cLN2gQ54dbqiJPLYQfLlPOk</v>
      </c>
      <c r="L72" s="3" t="s">
        <v>1</v>
      </c>
    </row>
    <row r="73">
      <c r="A73" s="4">
        <f>IFERROR(__xludf.DUMMYFUNCTION("""COMPUTED_VALUE"""),45527.525668726856)</f>
        <v>45527.52567</v>
      </c>
      <c r="B73" s="1" t="str">
        <f>IFERROR(__xludf.DUMMYFUNCTION("""COMPUTED_VALUE"""),"carter.henman@gmail.com")</f>
        <v>carter.henman@gmail.com</v>
      </c>
      <c r="C73" s="1" t="str">
        <f>IFERROR(__xludf.DUMMYFUNCTION("""COMPUTED_VALUE"""),"Huber, M. T. (2022). Credentialed politics: Knowing the climate crisis. In Climate change as class war: Building socialism on a warming planet. Verso. ")</f>
        <v>Huber, M. T. (2022). Credentialed politics: Knowing the climate crisis. In Climate change as class war: Building socialism on a warming planet. Verso. </v>
      </c>
      <c r="D73" s="1" t="str">
        <f>IFERROR(__xludf.DUMMYFUNCTION("""COMPUTED_VALUE"""),"Professor of Geography and the Environment at Syracuse University")</f>
        <v>Professor of Geography and the Environment at Syracuse University</v>
      </c>
      <c r="E73" s="1" t="str">
        <f>IFERROR(__xludf.DUMMYFUNCTION("""COMPUTED_VALUE"""),"NEGATIVE")</f>
        <v>NEGATIVE</v>
      </c>
      <c r="F73" s="1" t="str">
        <f>IFERROR(__xludf.DUMMYFUNCTION("""COMPUTED_VALUE"""),"Orthodox Marxism K")</f>
        <v>Orthodox Marxism K</v>
      </c>
      <c r="G73" s="1" t="str">
        <f>IFERROR(__xludf.DUMMYFUNCTION("""COMPUTED_VALUE"""),"Technocratic climate solutions (esp. carbon tax/cap and trade) fail because of their basis in professional-class knowledge politics and a conciliatory stance toward capitalists.")</f>
        <v>Technocratic climate solutions (esp. carbon tax/cap and trade) fail because of their basis in professional-class knowledge politics and a conciliatory stance toward capitalists.</v>
      </c>
      <c r="H73" s="1"/>
      <c r="I73" s="1" t="str">
        <f>IFERROR(__xludf.DUMMYFUNCTION("""COMPUTED_VALUE"""),"Henman WWU")</f>
        <v>Henman WWU</v>
      </c>
      <c r="J73" s="1" t="str">
        <f>IFERROR(__xludf.DUMMYFUNCTION("""COMPUTED_VALUE"""),"1 (due   )")</f>
        <v>1 (due   )</v>
      </c>
      <c r="K73" s="5" t="str">
        <f>IFERROR(__xludf.DUMMYFUNCTION("""COMPUTED_VALUE"""),"https://drive.google.com/open?id=1kRizajel3i1dkKgXIJMCpeHi8A7W6u_Y")</f>
        <v>https://drive.google.com/open?id=1kRizajel3i1dkKgXIJMCpeHi8A7W6u_Y</v>
      </c>
      <c r="L73" s="3" t="s">
        <v>2</v>
      </c>
    </row>
    <row r="74">
      <c r="A74" s="4">
        <f>IFERROR(__xludf.DUMMYFUNCTION("""COMPUTED_VALUE"""),45527.532842870365)</f>
        <v>45527.53284</v>
      </c>
      <c r="B74" s="1" t="str">
        <f>IFERROR(__xludf.DUMMYFUNCTION("""COMPUTED_VALUE"""),"carter.henman@gmail.com")</f>
        <v>carter.henman@gmail.com</v>
      </c>
      <c r="C74" s="1" t="str">
        <f>IFERROR(__xludf.DUMMYFUNCTION("""COMPUTED_VALUE"""),"Huber, M. T. (2022). The hidden abode of the climate crisis: Industrial capital and climate responsibility. In Climate change as class war: Building socialism on a warming planet. Verso. ")</f>
        <v>Huber, M. T. (2022). The hidden abode of the climate crisis: Industrial capital and climate responsibility. In Climate change as class war: Building socialism on a warming planet. Verso. </v>
      </c>
      <c r="D74" s="1" t="str">
        <f>IFERROR(__xludf.DUMMYFUNCTION("""COMPUTED_VALUE"""),"Professor of Geography and the Environment at Syracuse University")</f>
        <v>Professor of Geography and the Environment at Syracuse University</v>
      </c>
      <c r="E74" s="1" t="str">
        <f>IFERROR(__xludf.DUMMYFUNCTION("""COMPUTED_VALUE"""),"NEGATIVE")</f>
        <v>NEGATIVE</v>
      </c>
      <c r="F74" s="1" t="str">
        <f>IFERROR(__xludf.DUMMYFUNCTION("""COMPUTED_VALUE"""),"Orthodox Marxism K")</f>
        <v>Orthodox Marxism K</v>
      </c>
      <c r="G74" s="1" t="str">
        <f>IFERROR(__xludf.DUMMYFUNCTION("""COMPUTED_VALUE"""),"Market-based climate solutions focus on correcting price signals at the level of exchange, at the expense of reinforcing private control over production itself.")</f>
        <v>Market-based climate solutions focus on correcting price signals at the level of exchange, at the expense of reinforcing private control over production itself.</v>
      </c>
      <c r="H74" s="1"/>
      <c r="I74" s="1" t="str">
        <f>IFERROR(__xludf.DUMMYFUNCTION("""COMPUTED_VALUE"""),"WWU Henman")</f>
        <v>WWU Henman</v>
      </c>
      <c r="J74" s="1" t="str">
        <f>IFERROR(__xludf.DUMMYFUNCTION("""COMPUTED_VALUE"""),"1 (due   )")</f>
        <v>1 (due   )</v>
      </c>
      <c r="K74" s="5" t="str">
        <f>IFERROR(__xludf.DUMMYFUNCTION("""COMPUTED_VALUE"""),"https://drive.google.com/open?id=1kN8_1pH2QocjCXWIy5glqqPUA9cWN9v_")</f>
        <v>https://drive.google.com/open?id=1kN8_1pH2QocjCXWIy5glqqPUA9cWN9v_</v>
      </c>
      <c r="L74" s="3" t="s">
        <v>2</v>
      </c>
    </row>
    <row r="75">
      <c r="A75" s="4">
        <f>IFERROR(__xludf.DUMMYFUNCTION("""COMPUTED_VALUE"""),45527.55778837963)</f>
        <v>45527.55779</v>
      </c>
      <c r="B75" s="1" t="str">
        <f>IFERROR(__xludf.DUMMYFUNCTION("""COMPUTED_VALUE"""),"carter.henman@gmail.com")</f>
        <v>carter.henman@gmail.com</v>
      </c>
      <c r="C75" s="1" t="str">
        <f>IFERROR(__xludf.DUMMYFUNCTION("""COMPUTED_VALUE"""),"International Marxist Tendency, (2020). IMT theses on the climate crisis. https://communistusa.org/imt-theses-on-the-climate-crisis/")</f>
        <v>International Marxist Tendency, (2020). IMT theses on the climate crisis. https://communistusa.org/imt-theses-on-the-climate-crisis/</v>
      </c>
      <c r="D75" s="1" t="str">
        <f>IFERROR(__xludf.DUMMYFUNCTION("""COMPUTED_VALUE"""),"The Revolutionary Communist International (formerly the International Marxist Tendency) is a revolutionary organization with thousands of members organized into official parties and sections in nearly 40 countries around the world and an active presence i"&amp;"n over 70.  It was founded by South African revolutionary Ted Grant, who built the most successful Trotskyist organization in Britain since the founding of Trotsky's Left Opposition. It led the millions-strong anti-poll tax campaign which eventually broug"&amp;"ht down Margaret Thatcher.    ")</f>
        <v>The Revolutionary Communist International (formerly the International Marxist Tendency) is a revolutionary organization with thousands of members organized into official parties and sections in nearly 40 countries around the world and an active presence in over 70.  It was founded by South African revolutionary Ted Grant, who built the most successful Trotskyist organization in Britain since the founding of Trotsky's Left Opposition. It led the millions-strong anti-poll tax campaign which eventually brought down Margaret Thatcher.    </v>
      </c>
      <c r="E75" s="1" t="str">
        <f>IFERROR(__xludf.DUMMYFUNCTION("""COMPUTED_VALUE"""),"NEGATIVE")</f>
        <v>NEGATIVE</v>
      </c>
      <c r="F75" s="1" t="str">
        <f>IFERROR(__xludf.DUMMYFUNCTION("""COMPUTED_VALUE"""),"Orthodox Marxism K")</f>
        <v>Orthodox Marxism K</v>
      </c>
      <c r="G75" s="1" t="str">
        <f>IFERROR(__xludf.DUMMYFUNCTION("""COMPUTED_VALUE"""),"A Marxist critique of dominant proposals to solve climate change (ctax, subsidy cuts, degrowth, utility incentives) advocates linking eco-movements to labor via a socialist program of transformation")</f>
        <v>A Marxist critique of dominant proposals to solve climate change (ctax, subsidy cuts, degrowth, utility incentives) advocates linking eco-movements to labor via a socialist program of transformation</v>
      </c>
      <c r="H75" s="1" t="str">
        <f>IFERROR(__xludf.DUMMYFUNCTION("""COMPUTED_VALUE"""),"Climate change presents a colossal threat to humanity, and has motivated huge protests (particularly by young people) in the last period. Only a socialist transformation of society, with production planned democratically by the working class in harmony wi"&amp;"th the planet, can end the threat of climate change. This document by the International Marxist Tendency explains our revolutionary program for dealing with the climate crisis. It was drafted before the pandemic for discussion at the 2020 IMT World Congre"&amp;"ss, but has now been updated in a few places in light of recent events. Since the Congress has been cancelled due to the pandemic, we invite you to register for our online Marxist University, where we will be discussing the climate crisis.")</f>
        <v>Climate change presents a colossal threat to humanity, and has motivated huge protests (particularly by young people) in the last period. Only a socialist transformation of society, with production planned democratically by the working class in harmony with the planet, can end the threat of climate change. This document by the International Marxist Tendency explains our revolutionary program for dealing with the climate crisis. It was drafted before the pandemic for discussion at the 2020 IMT World Congress, but has now been updated in a few places in light of recent events. Since the Congress has been cancelled due to the pandemic, we invite you to register for our online Marxist University, where we will be discussing the climate crisis.</v>
      </c>
      <c r="I75" s="1" t="str">
        <f>IFERROR(__xludf.DUMMYFUNCTION("""COMPUTED_VALUE"""),"Henman WWU")</f>
        <v>Henman WWU</v>
      </c>
      <c r="J75" s="1" t="str">
        <f>IFERROR(__xludf.DUMMYFUNCTION("""COMPUTED_VALUE"""),"1 (due   )")</f>
        <v>1 (due   )</v>
      </c>
      <c r="K75" s="5" t="str">
        <f>IFERROR(__xludf.DUMMYFUNCTION("""COMPUTED_VALUE"""),"https://drive.google.com/open?id=1CPS2OpZ1_R1cGe8zEGGFQktRMtrTp3YY")</f>
        <v>https://drive.google.com/open?id=1CPS2OpZ1_R1cGe8zEGGFQktRMtrTp3YY</v>
      </c>
      <c r="L75" s="3" t="s">
        <v>2</v>
      </c>
    </row>
    <row r="76">
      <c r="A76" s="4">
        <f>IFERROR(__xludf.DUMMYFUNCTION("""COMPUTED_VALUE"""),45527.56807259259)</f>
        <v>45527.56807</v>
      </c>
      <c r="B76" s="1" t="str">
        <f>IFERROR(__xludf.DUMMYFUNCTION("""COMPUTED_VALUE"""),"carter.henman@gmail.com")</f>
        <v>carter.henman@gmail.com</v>
      </c>
      <c r="C76" s="1" t="str">
        <f>IFERROR(__xludf.DUMMYFUNCTION("""COMPUTED_VALUE"""),"Liodakis, G. (2023). Transcending socio-ecological crisis by means of the state or revolution? Capitalism Nature Socialism, 34(4), 58-77. https://doi.org/10.1080/10455752.2023.2172597")</f>
        <v>Liodakis, G. (2023). Transcending socio-ecological crisis by means of the state or revolution? Capitalism Nature Socialism, 34(4), 58-77. https://doi.org/10.1080/10455752.2023.2172597</v>
      </c>
      <c r="D76" s="1" t="str">
        <f>IFERROR(__xludf.DUMMYFUNCTION("""COMPUTED_VALUE"""),"retired professor of Political Economy, who taught for many years at the Technical University of Crete, Greece.")</f>
        <v>retired professor of Political Economy, who taught for many years at the Technical University of Crete, Greece.</v>
      </c>
      <c r="E76" s="1" t="str">
        <f>IFERROR(__xludf.DUMMYFUNCTION("""COMPUTED_VALUE"""),"NEGATIVE")</f>
        <v>NEGATIVE</v>
      </c>
      <c r="F76" s="1" t="str">
        <f>IFERROR(__xludf.DUMMYFUNCTION("""COMPUTED_VALUE"""),"Orthodox Marxism K")</f>
        <v>Orthodox Marxism K</v>
      </c>
      <c r="G76" s="1" t="str">
        <f>IFERROR(__xludf.DUMMYFUNCTION("""COMPUTED_VALUE"""),"The idea of using the bourgeois state to solve climate change is revisionist; a successful revolution requires smashing and replacing the ready-made state machinery with democratic workers government.")</f>
        <v>The idea of using the bourgeois state to solve climate change is revisionist; a successful revolution requires smashing and replacing the ready-made state machinery with democratic workers government.</v>
      </c>
      <c r="H76" s="1" t="str">
        <f>IFERROR(__xludf.DUMMYFUNCTION("""COMPUTED_VALUE"""),"The exacerbated socio-ecological crisis, including the devastating COVID-19 pandemic during the last few years, has given rise to a variety of interpretations and strategies to face this crisis. Some researchers have suggested that the state is the single"&amp;" most effective agent capable of mobilizing the amount of resources and the policies required to overcome a crisis of such a broad scope and devastating impact. This paper analyzes the causes of the multifaceted and deepening socio-ecological crisis to sh"&amp;"ow that the root cause behind this crisis is the capitalist mode of production itself. Subsequently, I interrogate those approaches proposing the state as a strategic mechanism to combat and overcome the crisis. It is outlined that the class-based (non-ne"&amp;"utral) character of the state will tend to reproduce the prevailing capitalist relations of production, namely the basic conditions for the generation and exacerbation of this crisis. As is finally suggested, it is only with a revolutionary transformation"&amp;" of society that the working social majority will be able to radically undo the fundamental causes of the crisis and create the conditions for a peaceful and sustainable development on a planetary level.")</f>
        <v>The exacerbated socio-ecological crisis, including the devastating COVID-19 pandemic during the last few years, has given rise to a variety of interpretations and strategies to face this crisis. Some researchers have suggested that the state is the single most effective agent capable of mobilizing the amount of resources and the policies required to overcome a crisis of such a broad scope and devastating impact. This paper analyzes the causes of the multifaceted and deepening socio-ecological crisis to show that the root cause behind this crisis is the capitalist mode of production itself. Subsequently, I interrogate those approaches proposing the state as a strategic mechanism to combat and overcome the crisis. It is outlined that the class-based (non-neutral) character of the state will tend to reproduce the prevailing capitalist relations of production, namely the basic conditions for the generation and exacerbation of this crisis. As is finally suggested, it is only with a revolutionary transformation of society that the working social majority will be able to radically undo the fundamental causes of the crisis and create the conditions for a peaceful and sustainable development on a planetary level.</v>
      </c>
      <c r="I76" s="1" t="str">
        <f>IFERROR(__xludf.DUMMYFUNCTION("""COMPUTED_VALUE"""),"Henman WWU")</f>
        <v>Henman WWU</v>
      </c>
      <c r="J76" s="1" t="str">
        <f>IFERROR(__xludf.DUMMYFUNCTION("""COMPUTED_VALUE"""),"1 (due   )")</f>
        <v>1 (due   )</v>
      </c>
      <c r="K76" s="5" t="str">
        <f>IFERROR(__xludf.DUMMYFUNCTION("""COMPUTED_VALUE"""),"https://drive.google.com/open?id=1cilI93zbffDfyHhHTCtxKnioSmIst-JM")</f>
        <v>https://drive.google.com/open?id=1cilI93zbffDfyHhHTCtxKnioSmIst-JM</v>
      </c>
      <c r="L76" s="3" t="s">
        <v>1</v>
      </c>
    </row>
    <row r="77">
      <c r="A77" s="4">
        <f>IFERROR(__xludf.DUMMYFUNCTION("""COMPUTED_VALUE"""),45527.581223125)</f>
        <v>45527.58122</v>
      </c>
      <c r="B77" s="1" t="str">
        <f>IFERROR(__xludf.DUMMYFUNCTION("""COMPUTED_VALUE"""),"carter.henman@gmail.com")</f>
        <v>carter.henman@gmail.com</v>
      </c>
      <c r="C77" s="1" t="str">
        <f>IFERROR(__xludf.DUMMYFUNCTION("""COMPUTED_VALUE"""),"Chambers, C. L., (2022). Afterword: Towards an ecopedagogy of revolutionary optimism in the age of climate crisis. In P. Jandrić, D. R. Ford (Eds.), Postdigital Ecopedagogies (pp. 281-285). Springer. https://doi.org/10.1007/978-3-030-97262-2")</f>
        <v>Chambers, C. L., (2022). Afterword: Towards an ecopedagogy of revolutionary optimism in the age of climate crisis. In P. Jandrić, D. R. Ford (Eds.), Postdigital Ecopedagogies (pp. 281-285). Springer. https://doi.org/10.1007/978-3-030-97262-2</v>
      </c>
      <c r="D77" s="1" t="str">
        <f>IFERROR(__xludf.DUMMYFUNCTION("""COMPUTED_VALUE"""),"Graduate Student, Department of Geography and the Environment, Syracuse University")</f>
        <v>Graduate Student, Department of Geography and the Environment, Syracuse University</v>
      </c>
      <c r="E77" s="1" t="str">
        <f>IFERROR(__xludf.DUMMYFUNCTION("""COMPUTED_VALUE"""),"NEGATIVE")</f>
        <v>NEGATIVE</v>
      </c>
      <c r="F77" s="1" t="str">
        <f>IFERROR(__xludf.DUMMYFUNCTION("""COMPUTED_VALUE"""),"Orthodox Marxism K")</f>
        <v>Orthodox Marxism K</v>
      </c>
      <c r="G77" s="1" t="str">
        <f>IFERROR(__xludf.DUMMYFUNCTION("""COMPUTED_VALUE"""),"Instead of rehashing tired disempowering mantras of individualism and reformism, climate educators should embrace a historical materialist pedagogy and foster revolutionary optimism.")</f>
        <v>Instead of rehashing tired disempowering mantras of individualism and reformism, climate educators should embrace a historical materialist pedagogy and foster revolutionary optimism.</v>
      </c>
      <c r="H77" s="1"/>
      <c r="I77" s="1" t="str">
        <f>IFERROR(__xludf.DUMMYFUNCTION("""COMPUTED_VALUE"""),"Henman WWU")</f>
        <v>Henman WWU</v>
      </c>
      <c r="J77" s="1" t="str">
        <f>IFERROR(__xludf.DUMMYFUNCTION("""COMPUTED_VALUE"""),"1 (due   )")</f>
        <v>1 (due   )</v>
      </c>
      <c r="K77" s="5" t="str">
        <f>IFERROR(__xludf.DUMMYFUNCTION("""COMPUTED_VALUE"""),"https://drive.google.com/open?id=1De0fPzsbVyDJC5h3i6w8GAlec7zMoAgs")</f>
        <v>https://drive.google.com/open?id=1De0fPzsbVyDJC5h3i6w8GAlec7zMoAgs</v>
      </c>
      <c r="L77" s="3" t="s">
        <v>1</v>
      </c>
    </row>
    <row r="78">
      <c r="A78" s="4">
        <f>IFERROR(__xludf.DUMMYFUNCTION("""COMPUTED_VALUE"""),45527.7764909375)</f>
        <v>45527.77649</v>
      </c>
      <c r="B78" s="1" t="str">
        <f>IFERROR(__xludf.DUMMYFUNCTION("""COMPUTED_VALUE"""),"carter.henman@gmail.com")</f>
        <v>carter.henman@gmail.com</v>
      </c>
      <c r="C78" s="1" t="str">
        <f>IFERROR(__xludf.DUMMYFUNCTION("""COMPUTED_VALUE"""),"Ansari, J. A., Siddiqui, A. H., &amp; Ali, S. A., (2020). An evaluation of the Marxist approach to the environmental crises. New Horizons, 14(1), 167-184. DOI:10.2.9270/NH.14.1(20).10")</f>
        <v>Ansari, J. A., Siddiqui, A. H., &amp; Ali, S. A., (2020). An evaluation of the Marxist approach to the environmental crises. New Horizons, 14(1), 167-184. DOI:10.2.9270/NH.14.1(20).10</v>
      </c>
      <c r="D78" s="1" t="str">
        <f>IFERROR(__xludf.DUMMYFUNCTION("""COMPUTED_VALUE"""),"Karachi-based political economist, Ph.D. from the University of Sussex, and an M.Sc. from the London School of Economics; Research Economist/Assistant Professor, Applied Economics Research Center, University of Karachi; Research Economist/Assistant Profes"&amp;"sor, Applied Economics Research Centre, University of Karachi; ")</f>
        <v>Karachi-based political economist, Ph.D. from the University of Sussex, and an M.Sc. from the London School of Economics; Research Economist/Assistant Professor, Applied Economics Research Center, University of Karachi; Research Economist/Assistant Professor, Applied Economics Research Centre, University of Karachi; </v>
      </c>
      <c r="E78" s="1" t="str">
        <f>IFERROR(__xludf.DUMMYFUNCTION("""COMPUTED_VALUE"""),"AFFIRMATIVE")</f>
        <v>AFFIRMATIVE</v>
      </c>
      <c r="F78" s="1" t="str">
        <f>IFERROR(__xludf.DUMMYFUNCTION("""COMPUTED_VALUE"""),"Orthodox Marxism K")</f>
        <v>Orthodox Marxism K</v>
      </c>
      <c r="G78" s="1" t="str">
        <f>IFERROR(__xludf.DUMMYFUNCTION("""COMPUTED_VALUE"""),"Critiques eco-socialism, arguing that it cannot overcome the enlightenment rationality at the heart of capitalism and that capitalism may yet find a way to overcome eco-crisis.")</f>
        <v>Critiques eco-socialism, arguing that it cannot overcome the enlightenment rationality at the heart of capitalism and that capitalism may yet find a way to overcome eco-crisis.</v>
      </c>
      <c r="H78" s="1" t="str">
        <f>IFERROR(__xludf.DUMMYFUNCTION("""COMPUTED_VALUE"""),"Environmental crises have now become a very serious global issue and work in this area has led to something of a revolution in Marxist theory which has contributed to its continued resilience within the academy. This paper is an attempt to assess Marxist "&amp;"ecological theory and evaluates the solutions this school offers towards addressing contemporary environmental challenges. We argue that Marxist eco-socialists have been (so far) unable to prove that the type of technological fixes suggested by capitalist"&amp;" scientists and adopted by capitalist states and market agents will necessarily fail to effectively respond to environmental changes ensuring the sustainability of capitalist order.")</f>
        <v>Environmental crises have now become a very serious global issue and work in this area has led to something of a revolution in Marxist theory which has contributed to its continued resilience within the academy. This paper is an attempt to assess Marxist ecological theory and evaluates the solutions this school offers towards addressing contemporary environmental challenges. We argue that Marxist eco-socialists have been (so far) unable to prove that the type of technological fixes suggested by capitalist scientists and adopted by capitalist states and market agents will necessarily fail to effectively respond to environmental changes ensuring the sustainability of capitalist order.</v>
      </c>
      <c r="I78" s="1" t="str">
        <f>IFERROR(__xludf.DUMMYFUNCTION("""COMPUTED_VALUE"""),"Henman WWU")</f>
        <v>Henman WWU</v>
      </c>
      <c r="J78" s="1" t="str">
        <f>IFERROR(__xludf.DUMMYFUNCTION("""COMPUTED_VALUE"""),"1 (due   )")</f>
        <v>1 (due   )</v>
      </c>
      <c r="K78" s="5" t="str">
        <f>IFERROR(__xludf.DUMMYFUNCTION("""COMPUTED_VALUE"""),"https://drive.google.com/open?id=10-KVOKd_0wAVotI4GC5WZtDAJ2oc75FE")</f>
        <v>https://drive.google.com/open?id=10-KVOKd_0wAVotI4GC5WZtDAJ2oc75FE</v>
      </c>
      <c r="L78" s="3" t="s">
        <v>2</v>
      </c>
    </row>
    <row r="79">
      <c r="A79" s="4">
        <f>IFERROR(__xludf.DUMMYFUNCTION("""COMPUTED_VALUE"""),45527.778858819445)</f>
        <v>45527.77886</v>
      </c>
      <c r="B79" s="1" t="str">
        <f>IFERROR(__xludf.DUMMYFUNCTION("""COMPUTED_VALUE"""),"carter.henman@gmail.com")</f>
        <v>carter.henman@gmail.com</v>
      </c>
      <c r="C79" s="1" t="str">
        <f>IFERROR(__xludf.DUMMYFUNCTION("""COMPUTED_VALUE"""),"Lenferna, A., (2020). Fossil ruel welfare versus the climate. In G. Wood &amp; K. Baker (Eds.), The Palgrave handbook of managing fossil fuels and energy transitions (pp. 551-567). Palgrave Macmillan Cham. https://doi.org/10.1007/978-3-030-28076-5")</f>
        <v>Lenferna, A., (2020). Fossil ruel welfare versus the climate. In G. Wood &amp; K. Baker (Eds.), The Palgrave handbook of managing fossil fuels and energy transitions (pp. 551-567). Palgrave Macmillan Cham. https://doi.org/10.1007/978-3-030-28076-5</v>
      </c>
      <c r="D79" s="1" t="str">
        <f>IFERROR(__xludf.DUMMYFUNCTION("""COMPUTED_VALUE"""),"post-doctoral research fellow at Nelson Mandela University in the Department of Development Studies ")</f>
        <v>post-doctoral research fellow at Nelson Mandela University in the Department of Development Studies </v>
      </c>
      <c r="E79" s="1" t="str">
        <f>IFERROR(__xludf.DUMMYFUNCTION("""COMPUTED_VALUE"""),"AFFIRMATIVE")</f>
        <v>AFFIRMATIVE</v>
      </c>
      <c r="F79" s="1" t="str">
        <f>IFERROR(__xludf.DUMMYFUNCTION("""COMPUTED_VALUE"""),"Orthodox Marxism K")</f>
        <v>Orthodox Marxism K</v>
      </c>
      <c r="G79" s="1" t="str">
        <f>IFERROR(__xludf.DUMMYFUNCTION("""COMPUTED_VALUE"""),"Capitalism itself is not the cause of climate crisis, advocates of the free market can be won over to abolishing fossil fuel welfare. This is more realistically done by policy than socialism.")</f>
        <v>Capitalism itself is not the cause of climate crisis, advocates of the free market can be won over to abolishing fossil fuel welfare. This is more realistically done by policy than socialism.</v>
      </c>
      <c r="H79" s="1"/>
      <c r="I79" s="1" t="str">
        <f>IFERROR(__xludf.DUMMYFUNCTION("""COMPUTED_VALUE"""),"Henman WWU")</f>
        <v>Henman WWU</v>
      </c>
      <c r="J79" s="1" t="str">
        <f>IFERROR(__xludf.DUMMYFUNCTION("""COMPUTED_VALUE"""),"1 (due   )")</f>
        <v>1 (due   )</v>
      </c>
      <c r="K79" s="5" t="str">
        <f>IFERROR(__xludf.DUMMYFUNCTION("""COMPUTED_VALUE"""),"https://drive.google.com/open?id=1KLcDWbeT4v8goQTqpwbd_4Ji0zSWQhuU")</f>
        <v>https://drive.google.com/open?id=1KLcDWbeT4v8goQTqpwbd_4Ji0zSWQhuU</v>
      </c>
      <c r="L79" s="3" t="s">
        <v>1</v>
      </c>
    </row>
    <row r="80">
      <c r="A80" s="4">
        <f>IFERROR(__xludf.DUMMYFUNCTION("""COMPUTED_VALUE"""),45527.789130219906)</f>
        <v>45527.78913</v>
      </c>
      <c r="B80" s="1" t="str">
        <f>IFERROR(__xludf.DUMMYFUNCTION("""COMPUTED_VALUE"""),"carter.henman@gmail.com")</f>
        <v>carter.henman@gmail.com</v>
      </c>
      <c r="C80" s="1" t="str">
        <f>IFERROR(__xludf.DUMMYFUNCTION("""COMPUTED_VALUE"""),"van den Bergh, J. C. J. M., &amp; Botzen, W. W. J., (2024). Assessing criticisms of carbon pricing. International Review of Environmental and Resource Economics, 18(3), 315-384. http://dx.doi.org/10.1561/101.00000172")</f>
        <v>van den Bergh, J. C. J. M., &amp; Botzen, W. W. J., (2024). Assessing criticisms of carbon pricing. International Review of Environmental and Resource Economics, 18(3), 315-384. http://dx.doi.org/10.1561/101.00000172</v>
      </c>
      <c r="D80" s="1" t="str">
        <f>IFERROR(__xludf.DUMMYFUNCTION("""COMPUTED_VALUE"""),"ICREA Research Professor in the Institute of Environmental Science &amp; Technology, Universitat Autònoma de Barcelona; director of the Institute for Environmental Studies (IVM), Vrije Universiteit (VU), Amsterdam;")</f>
        <v>ICREA Research Professor in the Institute of Environmental Science &amp; Technology, Universitat Autònoma de Barcelona; director of the Institute for Environmental Studies (IVM), Vrije Universiteit (VU), Amsterdam;</v>
      </c>
      <c r="E80" s="1" t="str">
        <f>IFERROR(__xludf.DUMMYFUNCTION("""COMPUTED_VALUE"""),"AFFIRMATIVE")</f>
        <v>AFFIRMATIVE</v>
      </c>
      <c r="F80" s="1" t="str">
        <f>IFERROR(__xludf.DUMMYFUNCTION("""COMPUTED_VALUE"""),"Orthodox Marxism K")</f>
        <v>Orthodox Marxism K</v>
      </c>
      <c r="G80" s="1" t="str">
        <f>IFERROR(__xludf.DUMMYFUNCTION("""COMPUTED_VALUE"""),"Answers link arguments to carbon tax and emissions trading schemes, taking into account the Marxist critique.")</f>
        <v>Answers link arguments to carbon tax and emissions trading schemes, taking into account the Marxist critique.</v>
      </c>
      <c r="H80" s="1" t="str">
        <f>IFERROR(__xludf.DUMMYFUNCTION("""COMPUTED_VALUE"""),"There is still considerable resistance against carbon pricing — i.e. carbon taxation or cap-and-trade — in the social and policy sciences. We review its main arguments and con- clude that they are not supported by the theoretical and empirical literature "&amp;"on instrument performance. Critics are also unable to offer alternative and feasible instruments that limit free riding in climate solutions and perform better on main evaluation criteria, namely effectiveness, efficiency, equity, and global-harmonization"&amp;" potential. Their argument that carbon pricing meets strong political resistance is coun- tered by its widespread implementation already and by its ability to compensate inequitable impacts. We argue that overcoming unsubstantiated criticism on carbon pri"&amp;"cing will lead to more consistent advice from policy experts to politi- cians, thus improving the feasibility of, and accelerating progress towards, globally harmonized and stringent climate policy. All in all, it might be more widely acknowledged that th"&amp;"e remarkable feature of carbon pricing is that, if well implemented, it has a great number of advantages and few disadvantages. Rather than weakening political support by criticizing carbon pricing, critics would contribute more productively to effective "&amp;"global climate policy by defending proper and uniform implementation of it.")</f>
        <v>There is still considerable resistance against carbon pricing — i.e. carbon taxation or cap-and-trade — in the social and policy sciences. We review its main arguments and con- clude that they are not supported by the theoretical and empirical literature on instrument performance. Critics are also unable to offer alternative and feasible instruments that limit free riding in climate solutions and perform better on main evaluation criteria, namely effectiveness, efficiency, equity, and global-harmonization potential. Their argument that carbon pricing meets strong political resistance is coun- tered by its widespread implementation already and by its ability to compensate inequitable impacts. We argue that overcoming unsubstantiated criticism on carbon pricing will lead to more consistent advice from policy experts to politi- cians, thus improving the feasibility of, and accelerating progress towards, globally harmonized and stringent climate policy. All in all, it might be more widely acknowledged that the remarkable feature of carbon pricing is that, if well implemented, it has a great number of advantages and few disadvantages. Rather than weakening political support by criticizing carbon pricing, critics would contribute more productively to effective global climate policy by defending proper and uniform implementation of it.</v>
      </c>
      <c r="I80" s="1" t="str">
        <f>IFERROR(__xludf.DUMMYFUNCTION("""COMPUTED_VALUE"""),"WWU Henman")</f>
        <v>WWU Henman</v>
      </c>
      <c r="J80" s="1" t="str">
        <f>IFERROR(__xludf.DUMMYFUNCTION("""COMPUTED_VALUE"""),"1 (due   )")</f>
        <v>1 (due   )</v>
      </c>
      <c r="K80" s="5" t="str">
        <f>IFERROR(__xludf.DUMMYFUNCTION("""COMPUTED_VALUE"""),"https://drive.google.com/open?id=13m4LMknLDrIkz-Psft92ewlI0_okL1UN")</f>
        <v>https://drive.google.com/open?id=13m4LMknLDrIkz-Psft92ewlI0_okL1UN</v>
      </c>
      <c r="L80" s="3" t="s">
        <v>1</v>
      </c>
    </row>
    <row r="81">
      <c r="A81" s="4">
        <f>IFERROR(__xludf.DUMMYFUNCTION("""COMPUTED_VALUE"""),45527.804367233795)</f>
        <v>45527.80437</v>
      </c>
      <c r="B81" s="1" t="str">
        <f>IFERROR(__xludf.DUMMYFUNCTION("""COMPUTED_VALUE"""),"carter.henman@gmail.com")</f>
        <v>carter.henman@gmail.com</v>
      </c>
      <c r="C81" s="1" t="str">
        <f>IFERROR(__xludf.DUMMYFUNCTION("""COMPUTED_VALUE"""),"Xie, F., &amp; Cheng, H., (2021). The political economy of climate change: The impasse and way out. Economic and Political Studies, 9(3), 315-335. https://doi.org/10.1080/20954816.2021.1885780")</f>
        <v>Xie, F., &amp; Cheng, H., (2021). The political economy of climate change: The impasse and way out. Economic and Political Studies, 9(3), 315-335. https://doi.org/10.1080/20954816.2021.1885780</v>
      </c>
      <c r="D81" s="1" t="str">
        <f>IFERROR(__xludf.DUMMYFUNCTION("""COMPUTED_VALUE"""),"Professor, School of Economics, and National Research Centre for Political Economy of Socialism with Chinese Characteristics, Renmin University of China, Beijing, China; Assistant Professor in the Economics Department at Franklin &amp; Marshall College.")</f>
        <v>Professor, School of Economics, and National Research Centre for Political Economy of Socialism with Chinese Characteristics, Renmin University of China, Beijing, China; Assistant Professor in the Economics Department at Franklin &amp; Marshall College.</v>
      </c>
      <c r="E81" s="1" t="str">
        <f>IFERROR(__xludf.DUMMYFUNCTION("""COMPUTED_VALUE"""),"MIXED")</f>
        <v>MIXED</v>
      </c>
      <c r="F81" s="1" t="str">
        <f>IFERROR(__xludf.DUMMYFUNCTION("""COMPUTED_VALUE"""),"Orthodox Marxism K")</f>
        <v>Orthodox Marxism K</v>
      </c>
      <c r="G81" s="1" t="str">
        <f>IFERROR(__xludf.DUMMYFUNCTION("""COMPUTED_VALUE"""),"Neg arguments about impacts of carbon markets and global climate governance on underdeveloped countries, but also lots of support for the permutation (e.g. broad coalitions, slow transition key, etc.)")</f>
        <v>Neg arguments about impacts of carbon markets and global climate governance on underdeveloped countries, but also lots of support for the permutation (e.g. broad coalitions, slow transition key, etc.)</v>
      </c>
      <c r="H81" s="1" t="str">
        <f>IFERROR(__xludf.DUMMYFUNCTION("""COMPUTED_VALUE"""),"Mainstream economics attributes climate change to negative externalities of carbon emissions and the lack of climate property rights. Although market-based strategies such as emission trading are widely implemented under the guideline of mainstream eco- n"&amp;"omics, there is no evidence that the accelerating trend of global warming has been contained. Marxian economists criticise the theoretical point of departure of the mainstream perspective about climate change and climate governance, and propose an alterna"&amp;"tive analytical framework focussing on the relationship between climate and capital accumulation. Following the Marxian perspective, we discuss the subject, nature, strategy, and possibil- ity of a popular climate movement that could serve as an alterna- "&amp;"tive to the existing mainstream climate governance.")</f>
        <v>Mainstream economics attributes climate change to negative externalities of carbon emissions and the lack of climate property rights. Although market-based strategies such as emission trading are widely implemented under the guideline of mainstream eco- nomics, there is no evidence that the accelerating trend of global warming has been contained. Marxian economists criticise the theoretical point of departure of the mainstream perspective about climate change and climate governance, and propose an alternative analytical framework focussing on the relationship between climate and capital accumulation. Following the Marxian perspective, we discuss the subject, nature, strategy, and possibil- ity of a popular climate movement that could serve as an alterna- tive to the existing mainstream climate governance.</v>
      </c>
      <c r="I81" s="1" t="str">
        <f>IFERROR(__xludf.DUMMYFUNCTION("""COMPUTED_VALUE"""),"Henman WWU")</f>
        <v>Henman WWU</v>
      </c>
      <c r="J81" s="1" t="str">
        <f>IFERROR(__xludf.DUMMYFUNCTION("""COMPUTED_VALUE"""),"1 (due   )")</f>
        <v>1 (due   )</v>
      </c>
      <c r="K81" s="5" t="str">
        <f>IFERROR(__xludf.DUMMYFUNCTION("""COMPUTED_VALUE"""),"https://drive.google.com/open?id=1qwcwnxmjhOQ_Izu2iGjcAAtf5jQCWF6Q")</f>
        <v>https://drive.google.com/open?id=1qwcwnxmjhOQ_Izu2iGjcAAtf5jQCWF6Q</v>
      </c>
      <c r="L81" s="3" t="s">
        <v>2</v>
      </c>
    </row>
    <row r="82">
      <c r="A82" s="4">
        <f>IFERROR(__xludf.DUMMYFUNCTION("""COMPUTED_VALUE"""),45530.629653738426)</f>
        <v>45530.62965</v>
      </c>
      <c r="B82" s="1" t="str">
        <f>IFERROR(__xludf.DUMMYFUNCTION("""COMPUTED_VALUE"""),"angelocthechef@gmail.com")</f>
        <v>angelocthechef@gmail.com</v>
      </c>
      <c r="C82" s="1" t="str">
        <f>IFERROR(__xludf.DUMMYFUNCTION("""COMPUTED_VALUE"""),"Marín, A. (2021). Mining—The dark side of the energy transition. Environmental Innovation and Societal Transitions, 41, 86-88,")</f>
        <v>Marín, A. (2021). Mining—The dark side of the energy transition. Environmental Innovation and Societal Transitions, 41, 86-88,</v>
      </c>
      <c r="D82" s="1" t="str">
        <f>IFERROR(__xludf.DUMMYFUNCTION("""COMPUTED_VALUE"""),"Anabel Marin is a Research Fellow and leads the Business, Markets and the State Cluster at IDS. She is also the Director at Bioleft, an open-source initiative for seed breeding.")</f>
        <v>Anabel Marin is a Research Fellow and leads the Business, Markets and the State Cluster at IDS. She is also the Director at Bioleft, an open-source initiative for seed breeding.</v>
      </c>
      <c r="E82" s="1" t="str">
        <f>IFERROR(__xludf.DUMMYFUNCTION("""COMPUTED_VALUE"""),"NEGATIVE")</f>
        <v>NEGATIVE</v>
      </c>
      <c r="F82" s="1" t="str">
        <f>IFERROR(__xludf.DUMMYFUNCTION("""COMPUTED_VALUE"""),"REM DA")</f>
        <v>REM DA</v>
      </c>
      <c r="G82" s="1" t="str">
        <f>IFERROR(__xludf.DUMMYFUNCTION("""COMPUTED_VALUE"""),"Impact to mining the minerals and elements necessary for renewable technologies")</f>
        <v>Impact to mining the minerals and elements necessary for renewable technologies</v>
      </c>
      <c r="H82" s="1" t="str">
        <f>IFERROR(__xludf.DUMMYFUNCTION("""COMPUTED_VALUE"""),"The energy transition will significantly increase demand for minerals. This might create new
economic opportunities for lower-income countries with resources, but it will also augment local social and environmental problems associated with the sector. The"&amp;" increasing number of social and environmental conflicts associated with mining in emerging economies is a manifestation of this tension and raises questions about just energy transitions. But can mining be done in more sustainable ways? Transition studie"&amp;"s have been largely silent on this question. In this article, we urge transitions scholars to incorporate mining into their analyses of energy transitions and briefly mention possible starting points to move in this direction. ")</f>
        <v>The energy transition will significantly increase demand for minerals. This might create new
economic opportunities for lower-income countries with resources, but it will also augment local social and environmental problems associated with the sector. The increasing number of social and environmental conflicts associated with mining in emerging economies is a manifestation of this tension and raises questions about just energy transitions. But can mining be done in more sustainable ways? Transition studies have been largely silent on this question. In this article, we urge transitions scholars to incorporate mining into their analyses of energy transitions and briefly mention possible starting points to move in this direction. </v>
      </c>
      <c r="I82" s="1" t="str">
        <f>IFERROR(__xludf.DUMMYFUNCTION("""COMPUTED_VALUE"""),"Celletti GU")</f>
        <v>Celletti GU</v>
      </c>
      <c r="J82" s="1" t="str">
        <f>IFERROR(__xludf.DUMMYFUNCTION("""COMPUTED_VALUE"""),"1 (due   )")</f>
        <v>1 (due   )</v>
      </c>
      <c r="K82" s="5" t="str">
        <f>IFERROR(__xludf.DUMMYFUNCTION("""COMPUTED_VALUE"""),"https://drive.google.com/open?id=1wspV7AdHB4qxDMT12iYFGjQmpELRa2Xv")</f>
        <v>https://drive.google.com/open?id=1wspV7AdHB4qxDMT12iYFGjQmpELRa2Xv</v>
      </c>
      <c r="L82" s="3" t="s">
        <v>2</v>
      </c>
    </row>
    <row r="83">
      <c r="A83" s="4">
        <f>IFERROR(__xludf.DUMMYFUNCTION("""COMPUTED_VALUE"""),45530.71793113426)</f>
        <v>45530.71793</v>
      </c>
      <c r="B83" s="1" t="str">
        <f>IFERROR(__xludf.DUMMYFUNCTION("""COMPUTED_VALUE"""),"angelocthechef@gmail.com")</f>
        <v>angelocthechef@gmail.com</v>
      </c>
      <c r="C83" s="1" t="str">
        <f>IFERROR(__xludf.DUMMYFUNCTION("""COMPUTED_VALUE"""),"Wang, S. (2023). Future demand for electricity generation materials under different climate mitigation scenarios. Joule, 7(2), 309-332")</f>
        <v>Wang, S. (2023). Future demand for electricity generation materials under different climate mitigation scenarios. Joule, 7(2), 309-332</v>
      </c>
      <c r="D83" s="1" t="str">
        <f>IFERROR(__xludf.DUMMYFUNCTION("""COMPUTED_VALUE"""),"PhD in Earth and Ocean Sciences from Duke University as well as a BA in Earth Sciences from the University of Pennsylvania and has worked with the Climate and Energy research program since Fall 2019. In addition to numerous Breakthrough analyses and repor"&amp;"ts, his research has been published in the journals Joule and Reviews of Geophysics.")</f>
        <v>PhD in Earth and Ocean Sciences from Duke University as well as a BA in Earth Sciences from the University of Pennsylvania and has worked with the Climate and Energy research program since Fall 2019. In addition to numerous Breakthrough analyses and reports, his research has been published in the journals Joule and Reviews of Geophysics.</v>
      </c>
      <c r="E83" s="1" t="str">
        <f>IFERROR(__xludf.DUMMYFUNCTION("""COMPUTED_VALUE"""),"AFFIRMATIVE")</f>
        <v>AFFIRMATIVE</v>
      </c>
      <c r="F83" s="1" t="str">
        <f>IFERROR(__xludf.DUMMYFUNCTION("""COMPUTED_VALUE"""),"REM DA")</f>
        <v>REM DA</v>
      </c>
      <c r="G83" s="1" t="str">
        <f>IFERROR(__xludf.DUMMYFUNCTION("""COMPUTED_VALUE"""),"Earth has enough minerals to support Green energy, and the emissions from them are negligible")</f>
        <v>Earth has enough minerals to support Green energy, and the emissions from them are negligible</v>
      </c>
      <c r="H83" s="1" t="str">
        <f>IFERROR(__xludf.DUMMYFUNCTION("""COMPUTED_VALUE"""),"Achieving global climate goals will require prodigious increases in low-carbon electricity generation, raising concerns about the scale of materials needed and associated environmental impacts. Here, we estimate power generation infrastructure demand for "&amp;"materials and related carbon-dioxide-equivalent (CO2eq) emissions from 2020 to 2050 across 75 different climate-energy scenarios and explore the impact of climate and technology choices upon material demand and carbon emitted. Material demands increase bu"&amp;"t cumulatively do not exceed geological reserves. However, annual production of neodymium (Nd), dysprosium (Dy), tellurium (Te), fiberglass, and solar-grade polysilicon may need to grow considerably. Cumulative CO2 emissions related to materials for elect"&amp;"ricity infrastructure may be substantial (4–29 Gt CO2eq in 1.5°C scenarios) but consume only a minor share of global carbon budgets (1%–9% of a 320 Gt CO2eq 1.5°C 66% avoidance budget). Our results highlight how technology choices and mitigation scenarios"&amp;" influence the large quantities of materials mobilized during a future power sector decarbonization.")</f>
        <v>Achieving global climate goals will require prodigious increases in low-carbon electricity generation, raising concerns about the scale of materials needed and associated environmental impacts. Here, we estimate power generation infrastructure demand for materials and related carbon-dioxide-equivalent (CO2eq) emissions from 2020 to 2050 across 75 different climate-energy scenarios and explore the impact of climate and technology choices upon material demand and carbon emitted. Material demands increase but cumulatively do not exceed geological reserves. However, annual production of neodymium (Nd), dysprosium (Dy), tellurium (Te), fiberglass, and solar-grade polysilicon may need to grow considerably. Cumulative CO2 emissions related to materials for electricity infrastructure may be substantial (4–29 Gt CO2eq in 1.5°C scenarios) but consume only a minor share of global carbon budgets (1%–9% of a 320 Gt CO2eq 1.5°C 66% avoidance budget). Our results highlight how technology choices and mitigation scenarios influence the large quantities of materials mobilized during a future power sector decarbonization.</v>
      </c>
      <c r="I83" s="1" t="str">
        <f>IFERROR(__xludf.DUMMYFUNCTION("""COMPUTED_VALUE"""),"Celletti GU")</f>
        <v>Celletti GU</v>
      </c>
      <c r="J83" s="1" t="str">
        <f>IFERROR(__xludf.DUMMYFUNCTION("""COMPUTED_VALUE"""),"1 (due   )")</f>
        <v>1 (due   )</v>
      </c>
      <c r="K83" s="5" t="str">
        <f>IFERROR(__xludf.DUMMYFUNCTION("""COMPUTED_VALUE"""),"https://drive.google.com/open?id=1L7K6pqnylAg2HHwQfs8rTSZBO7Bq7sUY")</f>
        <v>https://drive.google.com/open?id=1L7K6pqnylAg2HHwQfs8rTSZBO7Bq7sUY</v>
      </c>
      <c r="L83" s="3" t="s">
        <v>2</v>
      </c>
    </row>
    <row r="84">
      <c r="A84" s="4">
        <f>IFERROR(__xludf.DUMMYFUNCTION("""COMPUTED_VALUE"""),45529.37994537037)</f>
        <v>45529.37995</v>
      </c>
      <c r="B84" s="1" t="str">
        <f>IFERROR(__xludf.DUMMYFUNCTION("""COMPUTED_VALUE"""),"andream060403@gmail.com")</f>
        <v>andream060403@gmail.com</v>
      </c>
      <c r="C84" s="1" t="str">
        <f>IFERROR(__xludf.DUMMYFUNCTION("""COMPUTED_VALUE"""),"Thomas-Muller no date. “Energy Exploitation on Sacred Native Lands.” Reimagine. Vol 12. No.1. https://reimaginerpe.org/node/307#:~:text=For%20the%20Indigenous%20peoples%20historically,and%20the%20poisoning%20of%20our")</f>
        <v>Thomas-Muller no date. “Energy Exploitation on Sacred Native Lands.” Reimagine. Vol 12. No.1. https://reimaginerpe.org/node/307#:~:text=For%20the%20Indigenous%20peoples%20historically,and%20the%20poisoning%20of%20our</v>
      </c>
      <c r="D84" s="1" t="str">
        <f>IFERROR(__xludf.DUMMYFUNCTION("""COMPUTED_VALUE"""),"Clayton is part of the Cree Tribe and is a Native energy organizer for Indigenous Environmental Network")</f>
        <v>Clayton is part of the Cree Tribe and is a Native energy organizer for Indigenous Environmental Network</v>
      </c>
      <c r="E84" s="1" t="str">
        <f>IFERROR(__xludf.DUMMYFUNCTION("""COMPUTED_VALUE"""),"AFFIRMATIVE")</f>
        <v>AFFIRMATIVE</v>
      </c>
      <c r="F84" s="1" t="str">
        <f>IFERROR(__xludf.DUMMYFUNCTION("""COMPUTED_VALUE"""),"Remove Fossil Fuel Subsidies")</f>
        <v>Remove Fossil Fuel Subsidies</v>
      </c>
      <c r="G84" s="1" t="str">
        <f>IFERROR(__xludf.DUMMYFUNCTION("""COMPUTED_VALUE"""),"Fossil fuels contribute to colonial conquest, erasing sacred Indigenous culture and lands. This article outlines the impact of energy consumption, due to gas and oil industries.")</f>
        <v>Fossil fuels contribute to colonial conquest, erasing sacred Indigenous culture and lands. This article outlines the impact of energy consumption, due to gas and oil industries.</v>
      </c>
      <c r="H84" s="1"/>
      <c r="I84" s="1" t="str">
        <f>IFERROR(__xludf.DUMMYFUNCTION("""COMPUTED_VALUE"""),"Jarrel Phillips and Margi Clarke")</f>
        <v>Jarrel Phillips and Margi Clarke</v>
      </c>
      <c r="J84" s="1" t="str">
        <f>IFERROR(__xludf.DUMMYFUNCTION("""COMPUTED_VALUE"""),"1 (due   )")</f>
        <v>1 (due   )</v>
      </c>
      <c r="K84" s="5" t="str">
        <f>IFERROR(__xludf.DUMMYFUNCTION("""COMPUTED_VALUE"""),"https://drive.google.com/open?id=1TM0kltsHhs8qGeu5Ho0_pxulRcQLzYxp")</f>
        <v>https://drive.google.com/open?id=1TM0kltsHhs8qGeu5Ho0_pxulRcQLzYxp</v>
      </c>
      <c r="L84" s="3" t="s">
        <v>2</v>
      </c>
    </row>
    <row r="85">
      <c r="A85" s="4">
        <f>IFERROR(__xludf.DUMMYFUNCTION("""COMPUTED_VALUE"""),45529.38485686343)</f>
        <v>45529.38486</v>
      </c>
      <c r="B85" s="1" t="str">
        <f>IFERROR(__xludf.DUMMYFUNCTION("""COMPUTED_VALUE"""),"andream060403@gmail.com")</f>
        <v>andream060403@gmail.com</v>
      </c>
      <c r="C85" s="1" t="str">
        <f>IFERROR(__xludf.DUMMYFUNCTION("""COMPUTED_VALUE"""),"Hersher ‘22. “Climate Change is Killing People, but there is Still Time to Reverse Damage.” NPR. https://www.npr.org/2022/02/28/1082564304/billions-of-people-are-in-danger-from-climate-change-u-n-report-warns")</f>
        <v>Hersher ‘22. “Climate Change is Killing People, but there is Still Time to Reverse Damage.” NPR. https://www.npr.org/2022/02/28/1082564304/billions-of-people-are-in-danger-from-climate-change-u-n-report-warns</v>
      </c>
      <c r="D85" s="1" t="str">
        <f>IFERROR(__xludf.DUMMYFUNCTION("""COMPUTED_VALUE"""),"Rebecca, a reporter at NPRs Climate Desk, where she reports on climate science, weather disasters and infrastructure")</f>
        <v>Rebecca, a reporter at NPRs Climate Desk, where she reports on climate science, weather disasters and infrastructure</v>
      </c>
      <c r="E85" s="1" t="str">
        <f>IFERROR(__xludf.DUMMYFUNCTION("""COMPUTED_VALUE"""),"AFFIRMATIVE")</f>
        <v>AFFIRMATIVE</v>
      </c>
      <c r="F85" s="1" t="str">
        <f>IFERROR(__xludf.DUMMYFUNCTION("""COMPUTED_VALUE"""),"Remove Fossil Fuel Subsidies")</f>
        <v>Remove Fossil Fuel Subsidies</v>
      </c>
      <c r="G85" s="1" t="str">
        <f>IFERROR(__xludf.DUMMYFUNCTION("""COMPUTED_VALUE"""),"Billions of people globally are already suffering due to climate change, which is causing extreme weather events particularly harming vulnerable communities, including the poor and Indigenous peoples.")</f>
        <v>Billions of people globally are already suffering due to climate change, which is causing extreme weather events particularly harming vulnerable communities, including the poor and Indigenous peoples.</v>
      </c>
      <c r="H85" s="1"/>
      <c r="I85" s="1" t="str">
        <f>IFERROR(__xludf.DUMMYFUNCTION("""COMPUTED_VALUE"""),"N/A")</f>
        <v>N/A</v>
      </c>
      <c r="J85" s="1" t="str">
        <f>IFERROR(__xludf.DUMMYFUNCTION("""COMPUTED_VALUE"""),"1 (due   )")</f>
        <v>1 (due   )</v>
      </c>
      <c r="K85" s="5" t="str">
        <f>IFERROR(__xludf.DUMMYFUNCTION("""COMPUTED_VALUE"""),"https://drive.google.com/open?id=1y363lKD5p25fvcBxoKDcxPAtwnTv8JYE")</f>
        <v>https://drive.google.com/open?id=1y363lKD5p25fvcBxoKDcxPAtwnTv8JYE</v>
      </c>
      <c r="L85" s="3" t="s">
        <v>1</v>
      </c>
    </row>
    <row r="86">
      <c r="A86" s="4">
        <f>IFERROR(__xludf.DUMMYFUNCTION("""COMPUTED_VALUE"""),45529.39046015046)</f>
        <v>45529.39046</v>
      </c>
      <c r="B86" s="1" t="str">
        <f>IFERROR(__xludf.DUMMYFUNCTION("""COMPUTED_VALUE"""),"andream060403@gmail.com")</f>
        <v>andream060403@gmail.com</v>
      </c>
      <c r="C86" s="1" t="str">
        <f>IFERROR(__xludf.DUMMYFUNCTION("""COMPUTED_VALUE"""),"Donaghy, et al ‘22. “Fossil Fuel Racism in the United States: How Phasing out coal, oil, and gas can Protect Communities.” Energy Research and Social Science. Volume 100. https://doi.org/10.1016/j.erss.2023.103104")</f>
        <v>Donaghy, et al ‘22. “Fossil Fuel Racism in the United States: How Phasing out coal, oil, and gas can Protect Communities.” Energy Research and Social Science. Volume 100. https://doi.org/10.1016/j.erss.2023.103104</v>
      </c>
      <c r="D86" s="1" t="str">
        <f>IFERROR(__xludf.DUMMYFUNCTION("""COMPUTED_VALUE"""),"Tom, is a Senior Research Specialist at Greenpeace")</f>
        <v>Tom, is a Senior Research Specialist at Greenpeace</v>
      </c>
      <c r="E86" s="1" t="str">
        <f>IFERROR(__xludf.DUMMYFUNCTION("""COMPUTED_VALUE"""),"AFFIRMATIVE")</f>
        <v>AFFIRMATIVE</v>
      </c>
      <c r="F86" s="1" t="str">
        <f>IFERROR(__xludf.DUMMYFUNCTION("""COMPUTED_VALUE"""),"Remove Fossil Fuel Subsidies")</f>
        <v>Remove Fossil Fuel Subsidies</v>
      </c>
      <c r="G86" s="1" t="str">
        <f>IFERROR(__xludf.DUMMYFUNCTION("""COMPUTED_VALUE"""),"Fossil Fuel racism card: Phasing out fossil fuels restores environmental justice. ")</f>
        <v>Fossil Fuel racism card: Phasing out fossil fuels restores environmental justice. </v>
      </c>
      <c r="H86" s="1" t="str">
        <f>IFERROR(__xludf.DUMMYFUNCTION("""COMPUTED_VALUE"""),"Fossil fuels — coal, oil, and gas — lie at the heart of the interconnected crises we face, including climate change,
racial injustice, and public health. Each stage of the fossil fuel life cycle — extraction, processing, transport, and
combustion — genera"&amp;"tes toxic air and water pollution, as well as greenhouse gas (GHGs) emissions that drive the
global climate crisis. Addressing the harmful effects of energy decisions, including unequal risk distribution
across various governance levels, supply chains, an"&amp;"d political jurisdictions, is a complex task for policymakers
and society. A deeper understanding of how harms are embodied within fossil fuel life cycles is needed. This
paper provides a narrative review of recent studies within the United States (U.S.) "&amp;"that document both public
health harms and disproportionate impacts along the fossil fuel life cycle. In the U.S. the public health hazards
from air and water pollution, and risks associated with climate change, fall disproportionately on Black, Brown,
In"&amp;"digenous, and poor communities. “Sacrifice zones” and systemic racism are deeply intertwined within the
fossil-fuel based economy. We argue systemic racism subsidizes the fossil fuel industry by enabling it to externalize the costs of pollution and enviro"&amp;"nmental degradation onto communities of color. We position “fossil fuel
racism” as a subset of environmental racism and argue that this framing is useful because it shifts analytical and
political focus to the systems and structures which are actively pro"&amp;"tecting and promoting continued production of
fossil fuels. We discuss the implications of this body of research for climate policy, and outline how poorly
designed “carbon-centric” policies—which focus narrowly on GHGs reduction—could fail to alleviate t"&amp;"he racialized disparities or potentially worsen it for some communities. We emphasize the need to move beyond
carbon-centric approaches to climate solutions to more integrative approaches to policy design that can improve
public health, tackle the global "&amp;"climate crisis, and rectify our legacy of fossil fuel racism. Specifically we call for a
managed phase out of fossil fuel production and the enactment of wider programs of social, economic, and
democratic reforms via a Green New Deal. Adequately addressin"&amp;"g the climate crisis and fossil fuel racism require
political and policy solutions that disrupt the power and actions of the fossil fuel industry and their state allies.")</f>
        <v>Fossil fuels — coal, oil, and gas — lie at the heart of the interconnected crises we face, including climate change,
racial injustice, and public health. Each stage of the fossil fuel life cycle — extraction, processing, transport, and
combustion — generates toxic air and water pollution, as well as greenhouse gas (GHGs) emissions that drive the
global climate crisis. Addressing the harmful effects of energy decisions, including unequal risk distribution
across various governance levels, supply chains, and political jurisdictions, is a complex task for policymakers
and society. A deeper understanding of how harms are embodied within fossil fuel life cycles is needed. This
paper provides a narrative review of recent studies within the United States (U.S.) that document both public
health harms and disproportionate impacts along the fossil fuel life cycle. In the U.S. the public health hazards
from air and water pollution, and risks associated with climate change, fall disproportionately on Black, Brown,
Indigenous, and poor communities. “Sacrifice zones” and systemic racism are deeply intertwined within the
fossil-fuel based economy. We argue systemic racism subsidizes the fossil fuel industry by enabling it to externalize the costs of pollution and environmental degradation onto communities of color. We position “fossil fuel
racism” as a subset of environmental racism and argue that this framing is useful because it shifts analytical and
political focus to the systems and structures which are actively protecting and promoting continued production of
fossil fuels. We discuss the implications of this body of research for climate policy, and outline how poorly
designed “carbon-centric” policies—which focus narrowly on GHGs reduction—could fail to alleviate the racialized disparities or potentially worsen it for some communities. We emphasize the need to move beyond
carbon-centric approaches to climate solutions to more integrative approaches to policy design that can improve
public health, tackle the global climate crisis, and rectify our legacy of fossil fuel racism. Specifically we call for a
managed phase out of fossil fuel production and the enactment of wider programs of social, economic, and
democratic reforms via a Green New Deal. Adequately addressing the climate crisis and fossil fuel racism require
political and policy solutions that disrupt the power and actions of the fossil fuel industry and their state allies.</v>
      </c>
      <c r="I86" s="1" t="str">
        <f>IFERROR(__xludf.DUMMYFUNCTION("""COMPUTED_VALUE"""),"Muñoz Cabré, Science Direct")</f>
        <v>Muñoz Cabré, Science Direct</v>
      </c>
      <c r="J86" s="1" t="str">
        <f>IFERROR(__xludf.DUMMYFUNCTION("""COMPUTED_VALUE"""),"1 (due   )")</f>
        <v>1 (due   )</v>
      </c>
      <c r="K86" s="5" t="str">
        <f>IFERROR(__xludf.DUMMYFUNCTION("""COMPUTED_VALUE"""),"https://drive.google.com/open?id=1TyHWI6_iEK3enKN2tbmeyvNlWwVWzrvg")</f>
        <v>https://drive.google.com/open?id=1TyHWI6_iEK3enKN2tbmeyvNlWwVWzrvg</v>
      </c>
      <c r="L86" s="3" t="s">
        <v>2</v>
      </c>
    </row>
    <row r="87">
      <c r="A87" s="4">
        <f>IFERROR(__xludf.DUMMYFUNCTION("""COMPUTED_VALUE"""),45529.397622731485)</f>
        <v>45529.39762</v>
      </c>
      <c r="B87" s="1" t="str">
        <f>IFERROR(__xludf.DUMMYFUNCTION("""COMPUTED_VALUE"""),"andream060403@gmail.com")</f>
        <v>andream060403@gmail.com</v>
      </c>
      <c r="C87" s="1" t="str">
        <f>IFERROR(__xludf.DUMMYFUNCTION("""COMPUTED_VALUE"""),"Kruse ‘23 . “New Study: Fossil Fuels Disproportionately Impact Black, Brown, Indigenous, and Poor Communities Throughout The Supply Chain.” Greenpeace. ")</f>
        <v>Kruse ‘23 . “New Study: Fossil Fuels Disproportionately Impact Black, Brown, Indigenous, and Poor Communities Throughout The Supply Chain.” Greenpeace. </v>
      </c>
      <c r="D87" s="1" t="str">
        <f>IFERROR(__xludf.DUMMYFUNCTION("""COMPUTED_VALUE"""),"Tyler Kruse, a senior communications specialist with Greenpeace USA covering climate and energy,")</f>
        <v>Tyler Kruse, a senior communications specialist with Greenpeace USA covering climate and energy,</v>
      </c>
      <c r="E87" s="1" t="str">
        <f>IFERROR(__xludf.DUMMYFUNCTION("""COMPUTED_VALUE"""),"AFFIRMATIVE")</f>
        <v>AFFIRMATIVE</v>
      </c>
      <c r="F87" s="1" t="str">
        <f>IFERROR(__xludf.DUMMYFUNCTION("""COMPUTED_VALUE"""),"Remove Fossil Fuel Subsidies")</f>
        <v>Remove Fossil Fuel Subsidies</v>
      </c>
      <c r="G87" s="1" t="str">
        <f>IFERROR(__xludf.DUMMYFUNCTION("""COMPUTED_VALUE"""),"This study criticizes President Biden for expanding fossil fuel production and warns us that focusing only on reducing carbon emissions could worsen environmental injustices. ")</f>
        <v>This study criticizes President Biden for expanding fossil fuel production and warns us that focusing only on reducing carbon emissions could worsen environmental injustices. </v>
      </c>
      <c r="H87" s="1" t="str">
        <f>IFERROR(__xludf.DUMMYFUNCTION("""COMPUTED_VALUE"""),"None")</f>
        <v>None</v>
      </c>
      <c r="I87" s="1" t="str">
        <f>IFERROR(__xludf.DUMMYFUNCTION("""COMPUTED_VALUE"""),"Greenpeace does not solicit contributions from government or corporations")</f>
        <v>Greenpeace does not solicit contributions from government or corporations</v>
      </c>
      <c r="J87" s="1" t="str">
        <f>IFERROR(__xludf.DUMMYFUNCTION("""COMPUTED_VALUE"""),"1 (due   )")</f>
        <v>1 (due   )</v>
      </c>
      <c r="K87" s="5" t="str">
        <f>IFERROR(__xludf.DUMMYFUNCTION("""COMPUTED_VALUE"""),"https://drive.google.com/open?id=1Q0MM_ZNfz0HJPytbEtyVBPwDLbP_s2yG")</f>
        <v>https://drive.google.com/open?id=1Q0MM_ZNfz0HJPytbEtyVBPwDLbP_s2yG</v>
      </c>
      <c r="L87" s="3" t="s">
        <v>2</v>
      </c>
    </row>
    <row r="88">
      <c r="A88" s="4">
        <f>IFERROR(__xludf.DUMMYFUNCTION("""COMPUTED_VALUE"""),45529.402043229165)</f>
        <v>45529.40204</v>
      </c>
      <c r="B88" s="1" t="str">
        <f>IFERROR(__xludf.DUMMYFUNCTION("""COMPUTED_VALUE"""),"andream060403@gmail.com")</f>
        <v>andream060403@gmail.com</v>
      </c>
      <c r="C88" s="1" t="str">
        <f>IFERROR(__xludf.DUMMYFUNCTION("""COMPUTED_VALUE"""),"Thallinger and Subram ‘24 “Fossil Fuel Subsidies Harm Planet, the Poor.” The Asset. https://www.theasset.com/article-esg/51033/fossil-fuel-subsidies-harm-planet-the-poor")</f>
        <v>Thallinger and Subram ‘24 “Fossil Fuel Subsidies Harm Planet, the Poor.” The Asset. https://www.theasset.com/article-esg/51033/fossil-fuel-subsidies-harm-planet-the-poor</v>
      </c>
      <c r="D88" s="1" t="str">
        <f>IFERROR(__xludf.DUMMYFUNCTION("""COMPUTED_VALUE"""),"Günther, is a member of the board of management of Allianz SE with responsibity for investment management and sustainability, and Ludovic Subran is the chief economist at Allianz.")</f>
        <v>Günther, is a member of the board of management of Allianz SE with responsibity for investment management and sustainability, and Ludovic Subran is the chief economist at Allianz.</v>
      </c>
      <c r="E88" s="1" t="str">
        <f>IFERROR(__xludf.DUMMYFUNCTION("""COMPUTED_VALUE"""),"AFFIRMATIVE")</f>
        <v>AFFIRMATIVE</v>
      </c>
      <c r="F88" s="1" t="str">
        <f>IFERROR(__xludf.DUMMYFUNCTION("""COMPUTED_VALUE"""),"Remove Fossil Fuel Subsidies")</f>
        <v>Remove Fossil Fuel Subsidies</v>
      </c>
      <c r="G88" s="1" t="str">
        <f>IFERROR(__xludf.DUMMYFUNCTION("""COMPUTED_VALUE"""),"Inherency-Fossil Fuels subsidies in the US drastically increase emissions, and makes climate mitigation impossible")</f>
        <v>Inherency-Fossil Fuels subsidies in the US drastically increase emissions, and makes climate mitigation impossible</v>
      </c>
      <c r="H88" s="1"/>
      <c r="I88" s="1" t="str">
        <f>IFERROR(__xludf.DUMMYFUNCTION("""COMPUTED_VALUE"""),"Moreno Gonzaga ")</f>
        <v>Moreno Gonzaga </v>
      </c>
      <c r="J88" s="1" t="str">
        <f>IFERROR(__xludf.DUMMYFUNCTION("""COMPUTED_VALUE"""),"1 (due   )")</f>
        <v>1 (due   )</v>
      </c>
      <c r="K88" s="5" t="str">
        <f>IFERROR(__xludf.DUMMYFUNCTION("""COMPUTED_VALUE"""),"https://drive.google.com/open?id=1vwfFNzJEgF63u_3uGUpdnCD3SvnZ9TG6")</f>
        <v>https://drive.google.com/open?id=1vwfFNzJEgF63u_3uGUpdnCD3SvnZ9TG6</v>
      </c>
      <c r="L88" s="3" t="s">
        <v>1</v>
      </c>
    </row>
    <row r="89">
      <c r="A89" s="4">
        <f>IFERROR(__xludf.DUMMYFUNCTION("""COMPUTED_VALUE"""),45529.40567453703)</f>
        <v>45529.40567</v>
      </c>
      <c r="B89" s="1" t="str">
        <f>IFERROR(__xludf.DUMMYFUNCTION("""COMPUTED_VALUE"""),"andream060403@gmail.com")</f>
        <v>andream060403@gmail.com</v>
      </c>
      <c r="C89" s="1" t="str">
        <f>IFERROR(__xludf.DUMMYFUNCTION("""COMPUTED_VALUE"""),"Eco Business ‘23 [“How fossil fuel subsidies are hurting the energy transition”, https://www.eco-business.com/news/how-fossil-fuel-subsidies-are-hurting-the-energy-transition/]")</f>
        <v>Eco Business ‘23 [“How fossil fuel subsidies are hurting the energy transition”, https://www.eco-business.com/news/how-fossil-fuel-subsidies-are-hurting-the-energy-transition/]</v>
      </c>
      <c r="D89" s="1" t="str">
        <f>IFERROR(__xludf.DUMMYFUNCTION("""COMPUTED_VALUE"""),"N/A")</f>
        <v>N/A</v>
      </c>
      <c r="E89" s="1" t="str">
        <f>IFERROR(__xludf.DUMMYFUNCTION("""COMPUTED_VALUE"""),"AFFIRMATIVE")</f>
        <v>AFFIRMATIVE</v>
      </c>
      <c r="F89" s="1" t="str">
        <f>IFERROR(__xludf.DUMMYFUNCTION("""COMPUTED_VALUE"""),"Remove Fossil Fuel Subsidies")</f>
        <v>Remove Fossil Fuel Subsidies</v>
      </c>
      <c r="G89" s="1" t="str">
        <f>IFERROR(__xludf.DUMMYFUNCTION("""COMPUTED_VALUE"""),"Solvency - Ending fossil fuel subsidies forces companies to shift away from carbon intensive energy, enabling a green transition to renewables.")</f>
        <v>Solvency - Ending fossil fuel subsidies forces companies to shift away from carbon intensive energy, enabling a green transition to renewables.</v>
      </c>
      <c r="H89" s="1" t="str">
        <f>IFERROR(__xludf.DUMMYFUNCTION("""COMPUTED_VALUE"""),"None ")</f>
        <v>None </v>
      </c>
      <c r="I89" s="1" t="str">
        <f>IFERROR(__xludf.DUMMYFUNCTION("""COMPUTED_VALUE"""),"Moreno, Gonzaga  --- I also just realized what this line actually meant, any document submitted with andream060403 is Moreno Gonzaga - sorry about that there are probably four or five submissions with nothing on there or the editor contributor..,")</f>
        <v>Moreno, Gonzaga  --- I also just realized what this line actually meant, any document submitted with andream060403 is Moreno Gonzaga - sorry about that there are probably four or five submissions with nothing on there or the editor contributor..,</v>
      </c>
      <c r="J89" s="1" t="str">
        <f>IFERROR(__xludf.DUMMYFUNCTION("""COMPUTED_VALUE"""),"1 (due   )")</f>
        <v>1 (due   )</v>
      </c>
      <c r="K89" s="5" t="str">
        <f>IFERROR(__xludf.DUMMYFUNCTION("""COMPUTED_VALUE"""),"https://drive.google.com/open?id=1JNgnX1KCw5SfJv9mzo7RYkZy0-UDfplv")</f>
        <v>https://drive.google.com/open?id=1JNgnX1KCw5SfJv9mzo7RYkZy0-UDfplv</v>
      </c>
      <c r="L89" s="3" t="s">
        <v>1</v>
      </c>
    </row>
    <row r="90">
      <c r="A90" s="4">
        <f>IFERROR(__xludf.DUMMYFUNCTION("""COMPUTED_VALUE"""),45529.40960319444)</f>
        <v>45529.4096</v>
      </c>
      <c r="B90" s="1" t="str">
        <f>IFERROR(__xludf.DUMMYFUNCTION("""COMPUTED_VALUE"""),"andream060403@gmail.com")</f>
        <v>andream060403@gmail.com</v>
      </c>
      <c r="C90" s="1" t="str">
        <f>IFERROR(__xludf.DUMMYFUNCTION("""COMPUTED_VALUE"""),"Roser ‘21, “Fossil fuel subsidies: If we want to reduce greenhouse gas emissions we should not pay people to burn fossil fuels”, 2021. Our World in Data. https://ourworldindata.org/fossil-fuel-subsidies")</f>
        <v>Roser ‘21, “Fossil fuel subsidies: If we want to reduce greenhouse gas emissions we should not pay people to burn fossil fuels”, 2021. Our World in Data. https://ourworldindata.org/fossil-fuel-subsidies</v>
      </c>
      <c r="D90" s="1" t="str">
        <f>IFERROR(__xludf.DUMMYFUNCTION("""COMPUTED_VALUE"""),"He is the Professor of Practice in Global Data Analytics at the University of Oxford’s Blavatnik School of Government, the Programme Director of the Oxford Martin Programme on Global Development, and the Executive Co-Director of Global Change Data Lab, th"&amp;"e non-profit organization that publishes Our World in Data.")</f>
        <v>He is the Professor of Practice in Global Data Analytics at the University of Oxford’s Blavatnik School of Government, the Programme Director of the Oxford Martin Programme on Global Development, and the Executive Co-Director of Global Change Data Lab, the non-profit organization that publishes Our World in Data.</v>
      </c>
      <c r="E90" s="1" t="str">
        <f>IFERROR(__xludf.DUMMYFUNCTION("""COMPUTED_VALUE"""),"AFFIRMATIVE")</f>
        <v>AFFIRMATIVE</v>
      </c>
      <c r="F90" s="1" t="str">
        <f>IFERROR(__xludf.DUMMYFUNCTION("""COMPUTED_VALUE"""),"Remove Fossil Fuel Subsidies")</f>
        <v>Remove Fossil Fuel Subsidies</v>
      </c>
      <c r="G90" s="1" t="str">
        <f>IFERROR(__xludf.DUMMYFUNCTION("""COMPUTED_VALUE"""),"There’s a massive push for renewables now, but fossil fuel subsidies negate any of its benefits. The key to phasing out fossil fuel subsidies is making clean energy alternatives more affordable.")</f>
        <v>There’s a massive push for renewables now, but fossil fuel subsidies negate any of its benefits. The key to phasing out fossil fuel subsidies is making clean energy alternatives more affordable.</v>
      </c>
      <c r="H90" s="1"/>
      <c r="I90" s="1" t="str">
        <f>IFERROR(__xludf.DUMMYFUNCTION("""COMPUTED_VALUE"""),"Moreno Gonzaga")</f>
        <v>Moreno Gonzaga</v>
      </c>
      <c r="J90" s="1" t="str">
        <f>IFERROR(__xludf.DUMMYFUNCTION("""COMPUTED_VALUE"""),"1 (due   )")</f>
        <v>1 (due   )</v>
      </c>
      <c r="K90" s="5" t="str">
        <f>IFERROR(__xludf.DUMMYFUNCTION("""COMPUTED_VALUE"""),"https://drive.google.com/open?id=1j0iQ8YwV1DOxHT917rngZ2F6PVKtEjnf")</f>
        <v>https://drive.google.com/open?id=1j0iQ8YwV1DOxHT917rngZ2F6PVKtEjnf</v>
      </c>
      <c r="L90" s="3" t="s">
        <v>2</v>
      </c>
    </row>
    <row r="91">
      <c r="A91" s="4">
        <f>IFERROR(__xludf.DUMMYFUNCTION("""COMPUTED_VALUE"""),45529.41365798611)</f>
        <v>45529.41366</v>
      </c>
      <c r="B91" s="1" t="str">
        <f>IFERROR(__xludf.DUMMYFUNCTION("""COMPUTED_VALUE"""),"andream060403@gmail.com")</f>
        <v>andream060403@gmail.com</v>
      </c>
      <c r="C91" s="1" t="str">
        <f>IFERROR(__xludf.DUMMYFUNCTION("""COMPUTED_VALUE"""),"Supran, et al ’20 “Fossil Fuel Subsidies Must End.” Scientific America, https://www.scientificamerican.com/blog/observations/fossil-fuel-subsidies-must-end/.]")</f>
        <v>Supran, et al ’20 “Fossil Fuel Subsidies Must End.” Scientific America, https://www.scientificamerican.com/blog/observations/fossil-fuel-subsidies-must-end/.]</v>
      </c>
      <c r="D91" s="1" t="str">
        <f>IFERROR(__xludf.DUMMYFUNCTION("""COMPUTED_VALUE"""),"Geoffrey Supran is a research associate in the Department of the History of Science at Harvard University, ")</f>
        <v>Geoffrey Supran is a research associate in the Department of the History of Science at Harvard University, </v>
      </c>
      <c r="E91" s="1" t="str">
        <f>IFERROR(__xludf.DUMMYFUNCTION("""COMPUTED_VALUE"""),"AFFIRMATIVE")</f>
        <v>AFFIRMATIVE</v>
      </c>
      <c r="F91" s="1" t="str">
        <f>IFERROR(__xludf.DUMMYFUNCTION("""COMPUTED_VALUE"""),"Remove Fossil Fuel Subsidies")</f>
        <v>Remove Fossil Fuel Subsidies</v>
      </c>
      <c r="G91" s="1" t="str">
        <f>IFERROR(__xludf.DUMMYFUNCTION("""COMPUTED_VALUE"""),"Recent analysis argues that eliminating subsidies could significantly reduce emissions Fossil-fuel subsidies not only boost production but also are economically efficient")</f>
        <v>Recent analysis argues that eliminating subsidies could significantly reduce emissions Fossil-fuel subsidies not only boost production but also are economically efficient</v>
      </c>
      <c r="H91" s="1"/>
      <c r="I91" s="1" t="str">
        <f>IFERROR(__xludf.DUMMYFUNCTION("""COMPUTED_VALUE"""),"Moreno, Gonzaga")</f>
        <v>Moreno, Gonzaga</v>
      </c>
      <c r="J91" s="1" t="str">
        <f>IFERROR(__xludf.DUMMYFUNCTION("""COMPUTED_VALUE"""),"1 (due   )")</f>
        <v>1 (due   )</v>
      </c>
      <c r="K91" s="5" t="str">
        <f>IFERROR(__xludf.DUMMYFUNCTION("""COMPUTED_VALUE"""),"https://drive.google.com/open?id=1aEE2ncLyV7q7g0MRUMlwGu3cgXqi6W7u")</f>
        <v>https://drive.google.com/open?id=1aEE2ncLyV7q7g0MRUMlwGu3cgXqi6W7u</v>
      </c>
      <c r="L91" s="3" t="s">
        <v>2</v>
      </c>
    </row>
    <row r="92">
      <c r="A92" s="4">
        <f>IFERROR(__xludf.DUMMYFUNCTION("""COMPUTED_VALUE"""),45529.41849157408)</f>
        <v>45529.41849</v>
      </c>
      <c r="B92" s="1" t="str">
        <f>IFERROR(__xludf.DUMMYFUNCTION("""COMPUTED_VALUE"""),"andream060403@gmail.com")</f>
        <v>andream060403@gmail.com</v>
      </c>
      <c r="C92" s="1" t="str">
        <f>IFERROR(__xludf.DUMMYFUNCTION("""COMPUTED_VALUE"""),"Ho ‘22, “Prioritising Innovation: the case against the carbon tax”, Economist Impact. https://impact.economist.com/sustainability/net-zero-and-energy/prioritising-innovation-the-case-against-the-carbon-tax-ben-ho]")</f>
        <v>Ho ‘22, “Prioritising Innovation: the case against the carbon tax”, Economist Impact. https://impact.economist.com/sustainability/net-zero-and-energy/prioritising-innovation-the-case-against-the-carbon-tax-ben-ho]</v>
      </c>
      <c r="D92" s="1" t="str">
        <f>IFERROR(__xludf.DUMMYFUNCTION("""COMPUTED_VALUE"""),"Ben, Professor of economics at Vassar College and former lead energy economist for the White House Council of Economic Advisers,")</f>
        <v>Ben, Professor of economics at Vassar College and former lead energy economist for the White House Council of Economic Advisers,</v>
      </c>
      <c r="E92" s="1" t="str">
        <f>IFERROR(__xludf.DUMMYFUNCTION("""COMPUTED_VALUE"""),"MIXED")</f>
        <v>MIXED</v>
      </c>
      <c r="F92" s="1" t="str">
        <f>IFERROR(__xludf.DUMMYFUNCTION("""COMPUTED_VALUE"""),"Remove Fossil Fuel Subsidies")</f>
        <v>Remove Fossil Fuel Subsidies</v>
      </c>
      <c r="G92" s="1" t="str">
        <f>IFERROR(__xludf.DUMMYFUNCTION("""COMPUTED_VALUE"""),"This can be used as a solvency card or can be cut as an advantage cp, explicitly it argues that ending subsidies is the best way to reduce emissions.")</f>
        <v>This can be used as a solvency card or can be cut as an advantage cp, explicitly it argues that ending subsidies is the best way to reduce emissions.</v>
      </c>
      <c r="H92" s="1"/>
      <c r="I92" s="1" t="str">
        <f>IFERROR(__xludf.DUMMYFUNCTION("""COMPUTED_VALUE"""),"Moreno, Gonzaga")</f>
        <v>Moreno, Gonzaga</v>
      </c>
      <c r="J92" s="1" t="str">
        <f>IFERROR(__xludf.DUMMYFUNCTION("""COMPUTED_VALUE"""),"1 (due   )")</f>
        <v>1 (due   )</v>
      </c>
      <c r="K92" s="5" t="str">
        <f>IFERROR(__xludf.DUMMYFUNCTION("""COMPUTED_VALUE"""),"https://drive.google.com/open?id=1ET873BQv5m_1aUusbvvkkVeFP18w5c_7")</f>
        <v>https://drive.google.com/open?id=1ET873BQv5m_1aUusbvvkkVeFP18w5c_7</v>
      </c>
      <c r="L92" s="3" t="s">
        <v>2</v>
      </c>
    </row>
    <row r="93">
      <c r="A93" s="4">
        <f>IFERROR(__xludf.DUMMYFUNCTION("""COMPUTED_VALUE"""),45529.803207951394)</f>
        <v>45529.80321</v>
      </c>
      <c r="B93" s="1" t="str">
        <f>IFERROR(__xludf.DUMMYFUNCTION("""COMPUTED_VALUE"""),"ebcasey05@gmail.com")</f>
        <v>ebcasey05@gmail.com</v>
      </c>
      <c r="C93" s="1" t="str">
        <f>IFERROR(__xludf.DUMMYFUNCTION("""COMPUTED_VALUE"""),"van der Ploeg, F. (2016). Fossil fuel producers under threat. Oxford Review of Economic Policy, 32(2), 206–222")</f>
        <v>van der Ploeg, F. (2016). Fossil fuel producers under threat. Oxford Review of Economic Policy, 32(2), 206–222</v>
      </c>
      <c r="D93" s="1" t="str">
        <f>IFERROR(__xludf.DUMMYFUNCTION("""COMPUTED_VALUE"""),"Rick van der Ploeg (PhD, Cambridge). Research Director of Oxford Centre for Analysis of Resource Rich Economies. Formerly at Cambridge, LSE, European University Institute, Tilburg University, VU University and University of Amsterdam. Also former Member o"&amp;"f Parliament and State Secretary in the Netherlands and former Member and Vice Chair of the UNESCO World Heritage Committee. Consultancy experience with EU, IMF, World Bank, ADB and AfDB.")</f>
        <v>Rick van der Ploeg (PhD, Cambridge). Research Director of Oxford Centre for Analysis of Resource Rich Economies. Formerly at Cambridge, LSE, European University Institute, Tilburg University, VU University and University of Amsterdam. Also former Member of Parliament and State Secretary in the Netherlands and former Member and Vice Chair of the UNESCO World Heritage Committee. Consultancy experience with EU, IMF, World Bank, ADB and AfDB.</v>
      </c>
      <c r="E93" s="1" t="str">
        <f>IFERROR(__xludf.DUMMYFUNCTION("""COMPUTED_VALUE"""),"AFFIRMATIVE")</f>
        <v>AFFIRMATIVE</v>
      </c>
      <c r="F93" s="1" t="str">
        <f>IFERROR(__xludf.DUMMYFUNCTION("""COMPUTED_VALUE"""),"Remove Fossil Fuel Subsidies")</f>
        <v>Remove Fossil Fuel Subsidies</v>
      </c>
      <c r="G93" s="1" t="str">
        <f>IFERROR(__xludf.DUMMYFUNCTION("""COMPUTED_VALUE"""),"Anticipation of a clean energy transition prompts oil and gas producers to ramp up production while they still can which accelerates climate change.")</f>
        <v>Anticipation of a clean energy transition prompts oil and gas producers to ramp up production while they still can which accelerates climate change.</v>
      </c>
      <c r="H93" s="1" t="str">
        <f>IFERROR(__xludf.DUMMYFUNCTION("""COMPUTED_VALUE"""),"Oil and gas producers face three threats: prolonged low oil and gas prices, tightening of climate policy and a tough budget on cumulative carbon emissions, and technological innovation producing cheap substitutes for oil and gas. These threats pose real r"&amp;"isks of putting oil and gas producers out of business. They lead to the problem of stranded assets and a significant downward valuation of oil and gas producers. This calls for divesting from and shorting coal, oil, and gas. The economies of oil and gas r"&amp;"ich countries are typically in a deplorable state, since they did not use their past windfalls to build up buffers and invest in a diversified economy. More rapacious depletion of their oil and gas reserves will not help. After the crash in oil and gas pr"&amp;"ices these countries are facing serious problems and it is difficult to see how they will cope with the outlined threats. ")</f>
        <v>Oil and gas producers face three threats: prolonged low oil and gas prices, tightening of climate policy and a tough budget on cumulative carbon emissions, and technological innovation producing cheap substitutes for oil and gas. These threats pose real risks of putting oil and gas producers out of business. They lead to the problem of stranded assets and a significant downward valuation of oil and gas producers. This calls for divesting from and shorting coal, oil, and gas. The economies of oil and gas rich countries are typically in a deplorable state, since they did not use their past windfalls to build up buffers and invest in a diversified economy. More rapacious depletion of their oil and gas reserves will not help. After the crash in oil and gas prices these countries are facing serious problems and it is difficult to see how they will cope with the outlined threats. </v>
      </c>
      <c r="I93" s="1" t="str">
        <f>IFERROR(__xludf.DUMMYFUNCTION("""COMPUTED_VALUE"""),"Casey WWU")</f>
        <v>Casey WWU</v>
      </c>
      <c r="J93" s="1" t="str">
        <f>IFERROR(__xludf.DUMMYFUNCTION("""COMPUTED_VALUE"""),"1 (due   )")</f>
        <v>1 (due   )</v>
      </c>
      <c r="K93" s="5" t="str">
        <f>IFERROR(__xludf.DUMMYFUNCTION("""COMPUTED_VALUE"""),"https://drive.google.com/open?id=1oYmEiAXwu3WJ9I48tMQ53a6aHQHpc4oU")</f>
        <v>https://drive.google.com/open?id=1oYmEiAXwu3WJ9I48tMQ53a6aHQHpc4oU</v>
      </c>
      <c r="L93" s="3" t="s">
        <v>2</v>
      </c>
    </row>
    <row r="94">
      <c r="A94" s="4">
        <f>IFERROR(__xludf.DUMMYFUNCTION("""COMPUTED_VALUE"""),45530.48336128472)</f>
        <v>45530.48336</v>
      </c>
      <c r="B94" s="1" t="str">
        <f>IFERROR(__xludf.DUMMYFUNCTION("""COMPUTED_VALUE"""),"andream060403@gmail.com")</f>
        <v>andream060403@gmail.com</v>
      </c>
      <c r="C94" s="1" t="str">
        <f>IFERROR(__xludf.DUMMYFUNCTION("""COMPUTED_VALUE"""),"Brady, 21. “Fossil fuel subsidies are proving harder to end than first thought.” NPR. https://www.npr.org/2021/12/14/1064011237/fossil-fuel-subsidies-are-proving-harder-to-end-than-first-thought.] ")</f>
        <v>Brady, 21. “Fossil fuel subsidies are proving harder to end than first thought.” NPR. https://www.npr.org/2021/12/14/1064011237/fossil-fuel-subsidies-are-proving-harder-to-end-than-first-thought.] </v>
      </c>
      <c r="D94" s="1" t="str">
        <f>IFERROR(__xludf.DUMMYFUNCTION("""COMPUTED_VALUE"""),"Jeff is the Climate and Energy Correspondent on NPR’s Climate Desk.")</f>
        <v>Jeff is the Climate and Energy Correspondent on NPR’s Climate Desk.</v>
      </c>
      <c r="E94" s="1" t="str">
        <f>IFERROR(__xludf.DUMMYFUNCTION("""COMPUTED_VALUE"""),"NEGATIVE")</f>
        <v>NEGATIVE</v>
      </c>
      <c r="F94" s="1" t="str">
        <f>IFERROR(__xludf.DUMMYFUNCTION("""COMPUTED_VALUE"""),"Remove Fossil Fuel Subsidies")</f>
        <v>Remove Fossil Fuel Subsidies</v>
      </c>
      <c r="G94" s="1" t="str">
        <f>IFERROR(__xludf.DUMMYFUNCTION("""COMPUTED_VALUE"""),"This would be an industries and companies circumvention card to removing fossil fuel subsidies. ")</f>
        <v>This would be an industries and companies circumvention card to removing fossil fuel subsidies. </v>
      </c>
      <c r="H94" s="1"/>
      <c r="I94" s="1" t="str">
        <f>IFERROR(__xludf.DUMMYFUNCTION("""COMPUTED_VALUE"""),"Moreno Gonzaga")</f>
        <v>Moreno Gonzaga</v>
      </c>
      <c r="J94" s="1" t="str">
        <f>IFERROR(__xludf.DUMMYFUNCTION("""COMPUTED_VALUE"""),"1 (due   )")</f>
        <v>1 (due   )</v>
      </c>
      <c r="K94" s="5" t="str">
        <f>IFERROR(__xludf.DUMMYFUNCTION("""COMPUTED_VALUE"""),"https://drive.google.com/open?id=1lsRI-VsV4ia6Znpx9gd6DjWVjY90MPfQ")</f>
        <v>https://drive.google.com/open?id=1lsRI-VsV4ia6Znpx9gd6DjWVjY90MPfQ</v>
      </c>
      <c r="L94" s="3" t="s">
        <v>1</v>
      </c>
    </row>
    <row r="95">
      <c r="A95" s="4">
        <f>IFERROR(__xludf.DUMMYFUNCTION("""COMPUTED_VALUE"""),45530.487059189814)</f>
        <v>45530.48706</v>
      </c>
      <c r="B95" s="1" t="str">
        <f>IFERROR(__xludf.DUMMYFUNCTION("""COMPUTED_VALUE"""),"andream060403@gmail.com")</f>
        <v>andream060403@gmail.com</v>
      </c>
      <c r="C95" s="1" t="str">
        <f>IFERROR(__xludf.DUMMYFUNCTION("""COMPUTED_VALUE"""),"Rossetti ’21 [“Low-Energy Fridays: How Much Are We Really Subsidizing Fossil Fuels?” R. Street Institute. https://www.rstreet.org/commentary/low-energy-fridays-how-much-are-we-really-subsidizing-fossil-fuels/]")</f>
        <v>Rossetti ’21 [“Low-Energy Fridays: How Much Are We Really Subsidizing Fossil Fuels?” R. Street Institute. https://www.rstreet.org/commentary/low-energy-fridays-how-much-are-we-really-subsidizing-fossil-fuels/]</v>
      </c>
      <c r="D95" s="1" t="str">
        <f>IFERROR(__xludf.DUMMYFUNCTION("""COMPUTED_VALUE"""),"Philip, is a Resident Senior Fellow researching energy, climate, and environmental policy to identify low-cost and free-market opportunities to improve environmental outcomes")</f>
        <v>Philip, is a Resident Senior Fellow researching energy, climate, and environmental policy to identify low-cost and free-market opportunities to improve environmental outcomes</v>
      </c>
      <c r="E95" s="1" t="str">
        <f>IFERROR(__xludf.DUMMYFUNCTION("""COMPUTED_VALUE"""),"NEGATIVE")</f>
        <v>NEGATIVE</v>
      </c>
      <c r="F95" s="1" t="str">
        <f>IFERROR(__xludf.DUMMYFUNCTION("""COMPUTED_VALUE"""),"Remove Fossil Fuel Subsidies")</f>
        <v>Remove Fossil Fuel Subsidies</v>
      </c>
      <c r="G95" s="1" t="str">
        <f>IFERROR(__xludf.DUMMYFUNCTION("""COMPUTED_VALUE"""),"This would be a no uniqueness argument: we don't subsidize fossil fuels as much as some research has claimed.")</f>
        <v>This would be a no uniqueness argument: we don't subsidize fossil fuels as much as some research has claimed.</v>
      </c>
      <c r="H95" s="1"/>
      <c r="I95" s="1" t="str">
        <f>IFERROR(__xludf.DUMMYFUNCTION("""COMPUTED_VALUE"""),"Moreno Gonzaga")</f>
        <v>Moreno Gonzaga</v>
      </c>
      <c r="J95" s="1" t="str">
        <f>IFERROR(__xludf.DUMMYFUNCTION("""COMPUTED_VALUE"""),"1 (due   )")</f>
        <v>1 (due   )</v>
      </c>
      <c r="K95" s="5" t="str">
        <f>IFERROR(__xludf.DUMMYFUNCTION("""COMPUTED_VALUE"""),"https://drive.google.com/open?id=15Ra80lo1b3nc0h10B_9grh78jpsumC6U")</f>
        <v>https://drive.google.com/open?id=15Ra80lo1b3nc0h10B_9grh78jpsumC6U</v>
      </c>
      <c r="L95" s="3" t="s">
        <v>2</v>
      </c>
    </row>
    <row r="96">
      <c r="A96" s="4">
        <f>IFERROR(__xludf.DUMMYFUNCTION("""COMPUTED_VALUE"""),45530.49154658565)</f>
        <v>45530.49155</v>
      </c>
      <c r="B96" s="1" t="str">
        <f>IFERROR(__xludf.DUMMYFUNCTION("""COMPUTED_VALUE"""),"andream060403@gmail.com")</f>
        <v>andream060403@gmail.com</v>
      </c>
      <c r="C96" s="1" t="str">
        <f>IFERROR(__xludf.DUMMYFUNCTION("""COMPUTED_VALUE"""),"Yehle ’21. “US subsidies boost the expected profits and development of new oil and gas fields.” SEI. https://www.sei.org/about-sei/press-room/us-subsidies-boost-profits-oil-gas-fields/. ] ")</f>
        <v>Yehle ’21. “US subsidies boost the expected profits and development of new oil and gas fields.” SEI. https://www.sei.org/about-sei/press-room/us-subsidies-boost-profits-oil-gas-fields/. ] </v>
      </c>
      <c r="D96" s="1" t="str">
        <f>IFERROR(__xludf.DUMMYFUNCTION("""COMPUTED_VALUE"""),"Emily was a reporter covering Congress and federal agencies.")</f>
        <v>Emily was a reporter covering Congress and federal agencies.</v>
      </c>
      <c r="E96" s="1" t="str">
        <f>IFERROR(__xludf.DUMMYFUNCTION("""COMPUTED_VALUE"""),"NEGATIVE")</f>
        <v>NEGATIVE</v>
      </c>
      <c r="F96" s="1" t="str">
        <f>IFERROR(__xludf.DUMMYFUNCTION("""COMPUTED_VALUE"""),"Remove Fossil Fuel Subsidies")</f>
        <v>Remove Fossil Fuel Subsidies</v>
      </c>
      <c r="G96" s="1" t="str">
        <f>IFERROR(__xludf.DUMMYFUNCTION("""COMPUTED_VALUE"""),"This article does the job saying that fossil fuel subsidies are good for the economy. ")</f>
        <v>This article does the job saying that fossil fuel subsidies are good for the economy. </v>
      </c>
      <c r="H96" s="1"/>
      <c r="I96" s="1" t="str">
        <f>IFERROR(__xludf.DUMMYFUNCTION("""COMPUTED_VALUE"""),"Moreno Gonzaga")</f>
        <v>Moreno Gonzaga</v>
      </c>
      <c r="J96" s="1" t="str">
        <f>IFERROR(__xludf.DUMMYFUNCTION("""COMPUTED_VALUE"""),"1 (due   )")</f>
        <v>1 (due   )</v>
      </c>
      <c r="K96" s="5" t="str">
        <f>IFERROR(__xludf.DUMMYFUNCTION("""COMPUTED_VALUE"""),"https://drive.google.com/open?id=1RLSKB42EfjJhHY8WzpdVRovwx5ct-v_X")</f>
        <v>https://drive.google.com/open?id=1RLSKB42EfjJhHY8WzpdVRovwx5ct-v_X</v>
      </c>
      <c r="L96" s="3" t="s">
        <v>2</v>
      </c>
    </row>
    <row r="97">
      <c r="A97" s="4">
        <f>IFERROR(__xludf.DUMMYFUNCTION("""COMPUTED_VALUE"""),45530.49633847222)</f>
        <v>45530.49634</v>
      </c>
      <c r="B97" s="1" t="str">
        <f>IFERROR(__xludf.DUMMYFUNCTION("""COMPUTED_VALUE"""),"andream060403@gmail.com")</f>
        <v>andream060403@gmail.com</v>
      </c>
      <c r="C97" s="1" t="str">
        <f>IFERROR(__xludf.DUMMYFUNCTION("""COMPUTED_VALUE"""),"Zycher ’19, “The Trouble with ‘Renewable’ Energy.” AEI. https://www.aei.org/articles/the-trouble-with-renewable-energy/.] ")</f>
        <v>Zycher ’19, “The Trouble with ‘Renewable’ Energy.” AEI. https://www.aei.org/articles/the-trouble-with-renewable-energy/.] </v>
      </c>
      <c r="D97" s="1" t="str">
        <f>IFERROR(__xludf.DUMMYFUNCTION("""COMPUTED_VALUE"""),"Benjamin is a Senior Fellow researching energy and environmental policy at the American Enterprise Institute.")</f>
        <v>Benjamin is a Senior Fellow researching energy and environmental policy at the American Enterprise Institute.</v>
      </c>
      <c r="E97" s="1" t="str">
        <f>IFERROR(__xludf.DUMMYFUNCTION("""COMPUTED_VALUE"""),"NEGATIVE")</f>
        <v>NEGATIVE</v>
      </c>
      <c r="F97" s="1" t="str">
        <f>IFERROR(__xludf.DUMMYFUNCTION("""COMPUTED_VALUE"""),"Remove Fossil Fuel Subsidies")</f>
        <v>Remove Fossil Fuel Subsidies</v>
      </c>
      <c r="G97" s="1" t="str">
        <f>IFERROR(__xludf.DUMMYFUNCTION("""COMPUTED_VALUE"""),"This article outlines that the cost of renewable energy is too high to sustain for a long time. ")</f>
        <v>This article outlines that the cost of renewable energy is too high to sustain for a long time. </v>
      </c>
      <c r="H97" s="1"/>
      <c r="I97" s="1" t="str">
        <f>IFERROR(__xludf.DUMMYFUNCTION("""COMPUTED_VALUE"""),"Moreno Gonzaga")</f>
        <v>Moreno Gonzaga</v>
      </c>
      <c r="J97" s="1" t="str">
        <f>IFERROR(__xludf.DUMMYFUNCTION("""COMPUTED_VALUE"""),"1 (due   )")</f>
        <v>1 (due   )</v>
      </c>
      <c r="K97" s="5" t="str">
        <f>IFERROR(__xludf.DUMMYFUNCTION("""COMPUTED_VALUE"""),"https://drive.google.com/open?id=16KtQVvINBR_h_wylmg1kV6GO_EAItsfg")</f>
        <v>https://drive.google.com/open?id=16KtQVvINBR_h_wylmg1kV6GO_EAItsfg</v>
      </c>
      <c r="L97" s="3" t="s">
        <v>2</v>
      </c>
    </row>
    <row r="98">
      <c r="A98" s="4">
        <f>IFERROR(__xludf.DUMMYFUNCTION("""COMPUTED_VALUE"""),45530.50242359954)</f>
        <v>45530.50242</v>
      </c>
      <c r="B98" s="1" t="str">
        <f>IFERROR(__xludf.DUMMYFUNCTION("""COMPUTED_VALUE"""),"andream060403@gmail.com")</f>
        <v>andream060403@gmail.com</v>
      </c>
      <c r="C98" s="1" t="str">
        <f>IFERROR(__xludf.DUMMYFUNCTION("""COMPUTED_VALUE"""),"Karlsson and Zimmer ’20 “Green Energy’s Dirty Side Effects.” Foreign Policy. https://foreignpolicy.com/2020/06/18/green-energy-dirty-side-effects-renewable-transition-climate-change-cobalt-mining-human-rights-inequality/.] ")</f>
        <v>Karlsson and Zimmer ’20 “Green Energy’s Dirty Side Effects.” Foreign Policy. https://foreignpolicy.com/2020/06/18/green-energy-dirty-side-effects-renewable-transition-climate-change-cobalt-mining-human-rights-inequality/.] </v>
      </c>
      <c r="D98" s="1" t="str">
        <f>IFERROR(__xludf.DUMMYFUNCTION("""COMPUTED_VALUE"""),"Carl-Johan, is a Swedish freelance journalist based in Paris. Katarina is a freelance science and environmental journalist. ")</f>
        <v>Carl-Johan, is a Swedish freelance journalist based in Paris. Katarina is a freelance science and environmental journalist. </v>
      </c>
      <c r="E98" s="1" t="str">
        <f>IFERROR(__xludf.DUMMYFUNCTION("""COMPUTED_VALUE"""),"NEGATIVE")</f>
        <v>NEGATIVE</v>
      </c>
      <c r="F98" s="1" t="str">
        <f>IFERROR(__xludf.DUMMYFUNCTION("""COMPUTED_VALUE"""),"Remove Fossil Fuel Subsidies")</f>
        <v>Remove Fossil Fuel Subsidies</v>
      </c>
      <c r="G98" s="1" t="str">
        <f>IFERROR(__xludf.DUMMYFUNCTION("""COMPUTED_VALUE"""),"This article functions as a impact turn to removing ff subsidies is good for marginalized groups: Transitioning away from fossil fuels is bad for the global south")</f>
        <v>This article functions as a impact turn to removing ff subsidies is good for marginalized groups: Transitioning away from fossil fuels is bad for the global south</v>
      </c>
      <c r="H98" s="1"/>
      <c r="I98" s="1" t="str">
        <f>IFERROR(__xludf.DUMMYFUNCTION("""COMPUTED_VALUE"""),"Moreno Gonzaga")</f>
        <v>Moreno Gonzaga</v>
      </c>
      <c r="J98" s="1" t="str">
        <f>IFERROR(__xludf.DUMMYFUNCTION("""COMPUTED_VALUE"""),"1 (due   )")</f>
        <v>1 (due   )</v>
      </c>
      <c r="K98" s="5" t="str">
        <f>IFERROR(__xludf.DUMMYFUNCTION("""COMPUTED_VALUE"""),"https://drive.google.com/open?id=165fWzTgWt_0p3VHrns3YQb9itQrkbhhd")</f>
        <v>https://drive.google.com/open?id=165fWzTgWt_0p3VHrns3YQb9itQrkbhhd</v>
      </c>
      <c r="L98" s="3" t="s">
        <v>1</v>
      </c>
    </row>
    <row r="99">
      <c r="A99" s="4">
        <f>IFERROR(__xludf.DUMMYFUNCTION("""COMPUTED_VALUE"""),45530.614222187505)</f>
        <v>45530.61422</v>
      </c>
      <c r="B99" s="1" t="str">
        <f>IFERROR(__xludf.DUMMYFUNCTION("""COMPUTED_VALUE"""),"alexmooney256@gmail.com")</f>
        <v>alexmooney256@gmail.com</v>
      </c>
      <c r="C99" s="1" t="str">
        <f>IFERROR(__xludf.DUMMYFUNCTION("""COMPUTED_VALUE"""),"Erickson, P., Down, A., Lazarus, M., Koplow, D. (2017). Effect of subsidies to fossil fuel companies on United States crude oil production. Nature Energy 2, Vol 2, 891–898.")</f>
        <v>Erickson, P., Down, A., Lazarus, M., Koplow, D. (2017). Effect of subsidies to fossil fuel companies on United States crude oil production. Nature Energy 2, Vol 2, 891–898.</v>
      </c>
      <c r="D99" s="1" t="str">
        <f>IFERROR(__xludf.DUMMYFUNCTION("""COMPUTED_VALUE"""),"Erickson: Affiliated Researcher at Stockholm Environment Institute; Down: Staff Scientist at SEI; Lazarus: Centre Director at SEI US; Koplow: Founder of Earth Track")</f>
        <v>Erickson: Affiliated Researcher at Stockholm Environment Institute; Down: Staff Scientist at SEI; Lazarus: Centre Director at SEI US; Koplow: Founder of Earth Track</v>
      </c>
      <c r="E99" s="1" t="str">
        <f>IFERROR(__xludf.DUMMYFUNCTION("""COMPUTED_VALUE"""),"AFFIRMATIVE")</f>
        <v>AFFIRMATIVE</v>
      </c>
      <c r="F99" s="1" t="str">
        <f>IFERROR(__xludf.DUMMYFUNCTION("""COMPUTED_VALUE"""),"Remove Fossil Fuel Subsidies")</f>
        <v>Remove Fossil Fuel Subsidies</v>
      </c>
      <c r="G99" s="1" t="str">
        <f>IFERROR(__xludf.DUMMYFUNCTION("""COMPUTED_VALUE"""),"Generic information on U.S. fossil fuel subsidies and international commitments. focuses otherwise unviable projects that are developed due to subsidies. useful to quantify the impacts of subsidies")</f>
        <v>Generic information on U.S. fossil fuel subsidies and international commitments. focuses otherwise unviable projects that are developed due to subsidies. useful to quantify the impacts of subsidies</v>
      </c>
      <c r="H99" s="1" t="str">
        <f>IFERROR(__xludf.DUMMYFUNCTION("""COMPUTED_VALUE"""),"Countries in the G20 have committed to phase out ‘inefficient’ fossil fuel subsidies. However, there remains a limited understanding of how subsidy removal would affect fossil fuel investment returns and production, particularly for subsidies to producers"&amp;". Here, we assess the impact of major federal and state subsidies on US crude oil producers. We find that, at recent oil prices of US$50 per barrel, tax preferences and other subsidies push nearly half of new, yet-to-be-developed oil investments into prof"&amp;"itability, potentially increasing US oil production by 17 billion barrels over the next few decades. This oil, equivalent to 6 billion tonnes of CO2, could make up as much as 20% of US oil production through 2050 under a carbon budget aimed at limiting wa"&amp;"rming to 2 °C. Our findings show that removal of tax incentives and other fossil fuel support policies could both fulfil G20 commitments and yield climate benefits.")</f>
        <v>Countries in the G20 have committed to phase out ‘inefficient’ fossil fuel subsidies. However, there remains a limited understanding of how subsidy removal would affect fossil fuel investment returns and production, particularly for subsidies to producers. Here, we assess the impact of major federal and state subsidies on US crude oil producers. We find that, at recent oil prices of US$50 per barrel, tax preferences and other subsidies push nearly half of new, yet-to-be-developed oil investments into profitability, potentially increasing US oil production by 17 billion barrels over the next few decades. This oil, equivalent to 6 billion tonnes of CO2, could make up as much as 20% of US oil production through 2050 under a carbon budget aimed at limiting warming to 2 °C. Our findings show that removal of tax incentives and other fossil fuel support policies could both fulfil G20 commitments and yield climate benefits.</v>
      </c>
      <c r="I99" s="1" t="str">
        <f>IFERROR(__xludf.DUMMYFUNCTION("""COMPUTED_VALUE"""),"Mooney Hillsdale")</f>
        <v>Mooney Hillsdale</v>
      </c>
      <c r="J99" s="1" t="str">
        <f>IFERROR(__xludf.DUMMYFUNCTION("""COMPUTED_VALUE"""),"1 (due   )")</f>
        <v>1 (due   )</v>
      </c>
      <c r="K99" s="5" t="str">
        <f>IFERROR(__xludf.DUMMYFUNCTION("""COMPUTED_VALUE"""),"https://drive.google.com/open?id=1Oop7PLT_wMqtNBXZ9jz8DRibCTGtLnNI")</f>
        <v>https://drive.google.com/open?id=1Oop7PLT_wMqtNBXZ9jz8DRibCTGtLnNI</v>
      </c>
      <c r="L99" s="3" t="s">
        <v>2</v>
      </c>
    </row>
    <row r="100">
      <c r="A100" s="4">
        <f>IFERROR(__xludf.DUMMYFUNCTION("""COMPUTED_VALUE"""),45530.631871817124)</f>
        <v>45530.63187</v>
      </c>
      <c r="B100" s="1" t="str">
        <f>IFERROR(__xludf.DUMMYFUNCTION("""COMPUTED_VALUE"""),"angelocthechef@gmail.com")</f>
        <v>angelocthechef@gmail.com</v>
      </c>
      <c r="C100" s="1" t="str">
        <f>IFERROR(__xludf.DUMMYFUNCTION("""COMPUTED_VALUE"""),"Rentschler, J., &amp; Bazilian, M. (2016, June 22). Reforming fossil fuel subsidies: drivers, barriers and the state of progress. https://www.tandfonline.com/doi/full/10.1080/14693062.2016.1169393#d1e143")</f>
        <v>Rentschler, J., &amp; Bazilian, M. (2016, June 22). Reforming fossil fuel subsidies: drivers, barriers and the state of progress. https://www.tandfonline.com/doi/full/10.1080/14693062.2016.1169393#d1e143</v>
      </c>
      <c r="D100" s="1" t="str">
        <f>IFERROR(__xludf.DUMMYFUNCTION("""COMPUTED_VALUE"""),"Jun Rentschler is a Senior Economist at the Office of the Chief Economist for Sustainable Development, working at the intersection of climate change and sustainable resilient development. Prior to joining The World Bank in 2012, he served as an Economic A"&amp;"dviser at the German Foreign Ministry. ")</f>
        <v>Jun Rentschler is a Senior Economist at the Office of the Chief Economist for Sustainable Development, working at the intersection of climate change and sustainable resilient development. Prior to joining The World Bank in 2012, he served as an Economic Adviser at the German Foreign Ministry. </v>
      </c>
      <c r="E100" s="1" t="str">
        <f>IFERROR(__xludf.DUMMYFUNCTION("""COMPUTED_VALUE"""),"NEGATIVE")</f>
        <v>NEGATIVE</v>
      </c>
      <c r="F100" s="1" t="str">
        <f>IFERROR(__xludf.DUMMYFUNCTION("""COMPUTED_VALUE"""),"Remove Fossil Fuel Subsidies")</f>
        <v>Remove Fossil Fuel Subsidies</v>
      </c>
      <c r="G100" s="1" t="str">
        <f>IFERROR(__xludf.DUMMYFUNCTION("""COMPUTED_VALUE"""),"Definitions of a fossil fuel subsidy, it outlines political, social and economic drives to remove FFS but explains how difficult it is for legislators to enact it")</f>
        <v>Definitions of a fossil fuel subsidy, it outlines political, social and economic drives to remove FFS but explains how difficult it is for legislators to enact it</v>
      </c>
      <c r="H100" s="1" t="str">
        <f>IFERROR(__xludf.DUMMYFUNCTION("""COMPUTED_VALUE"""),"This article outlines the current state of affairs in fossil fuel subsidy reform, and highlights its contribution at the nexus of climate policy, fiscal stability and sustainable development. It discusses common definitions, provides quantitative estimate"&amp;"s, and presents the evidence for key arguments in favour of subsidy reform. The main drivers and barriers for reform are also discussed, including the role of (low) oil prices and political economy challenges. Commitments to subsidy reform by the internat"&amp;"ional community are reviewed, as well as the progress at the country level. Although fossil fuel subsidy reform indeed plays a critical role in climate policy, experience shows that the rationale for such reforms is determined in a complex environment of "&amp;"political economy challenges, macro-economic, fiscal and social factors, as well as external drivers such as energy prices. The article synthesizes the key principles for designing effective reforms and emphasizes that subsidy reforms cannot only yield fi"&amp;"scal relief, but should also contribute to long-term sustainable development objectives. Areas for future research are also identified.")</f>
        <v>This article outlines the current state of affairs in fossil fuel subsidy reform, and highlights its contribution at the nexus of climate policy, fiscal stability and sustainable development. It discusses common definitions, provides quantitative estimates, and presents the evidence for key arguments in favour of subsidy reform. The main drivers and barriers for reform are also discussed, including the role of (low) oil prices and political economy challenges. Commitments to subsidy reform by the international community are reviewed, as well as the progress at the country level. Although fossil fuel subsidy reform indeed plays a critical role in climate policy, experience shows that the rationale for such reforms is determined in a complex environment of political economy challenges, macro-economic, fiscal and social factors, as well as external drivers such as energy prices. The article synthesizes the key principles for designing effective reforms and emphasizes that subsidy reforms cannot only yield fiscal relief, but should also contribute to long-term sustainable development objectives. Areas for future research are also identified.</v>
      </c>
      <c r="I100" s="1" t="str">
        <f>IFERROR(__xludf.DUMMYFUNCTION("""COMPUTED_VALUE"""),"Celletti GU")</f>
        <v>Celletti GU</v>
      </c>
      <c r="J100" s="1" t="str">
        <f>IFERROR(__xludf.DUMMYFUNCTION("""COMPUTED_VALUE"""),"1 (due   )")</f>
        <v>1 (due   )</v>
      </c>
      <c r="K100" s="5" t="str">
        <f>IFERROR(__xludf.DUMMYFUNCTION("""COMPUTED_VALUE"""),"https://drive.google.com/open?id=1svy2-4M4DwWxUov5U-TBouFrsfz_n74-")</f>
        <v>https://drive.google.com/open?id=1svy2-4M4DwWxUov5U-TBouFrsfz_n74-</v>
      </c>
      <c r="L100" s="3" t="s">
        <v>1</v>
      </c>
    </row>
    <row r="101">
      <c r="A101" s="4">
        <f>IFERROR(__xludf.DUMMYFUNCTION("""COMPUTED_VALUE"""),45530.640196504624)</f>
        <v>45530.6402</v>
      </c>
      <c r="B101" s="1" t="str">
        <f>IFERROR(__xludf.DUMMYFUNCTION("""COMPUTED_VALUE"""),"angelocthechef@gmail.com")</f>
        <v>angelocthechef@gmail.com</v>
      </c>
      <c r="C101" s="1" t="str">
        <f>IFERROR(__xludf.DUMMYFUNCTION("""COMPUTED_VALUE"""),"Spratt, D and Dunlop, I. (2019. “Existential climate-related security risk: A scenario approach”, Breakthrough Policy Paper.")</f>
        <v>Spratt, D and Dunlop, I. (2019. “Existential climate-related security risk: A scenario approach”, Breakthrough Policy Paper.</v>
      </c>
      <c r="D101" s="1" t="str">
        <f>IFERROR(__xludf.DUMMYFUNCTION("""COMPUTED_VALUE"""),"David Spratt is a Research Director for Breakthrough National Centre for Climate Restoration, Melbourne, and co-author of Climate Code Red: The case for emergency action.Ian T. Dunlop is a member of the Club of Rome. Formerly an international oil, gas and"&amp;" coal industry executive, chairman of the Australian Coal Association, chief executive of the Australian Institute of Company Directors, and chair of the Australian Greenhouse Office Experts Group on Emissions Trading 1998-2000.")</f>
        <v>David Spratt is a Research Director for Breakthrough National Centre for Climate Restoration, Melbourne, and co-author of Climate Code Red: The case for emergency action.Ian T. Dunlop is a member of the Club of Rome. Formerly an international oil, gas and coal industry executive, chairman of the Australian Coal Association, chief executive of the Australian Institute of Company Directors, and chair of the Australian Greenhouse Office Experts Group on Emissions Trading 1998-2000.</v>
      </c>
      <c r="E101" s="1" t="str">
        <f>IFERROR(__xludf.DUMMYFUNCTION("""COMPUTED_VALUE"""),"NEGATIVE")</f>
        <v>NEGATIVE</v>
      </c>
      <c r="F101" s="1" t="str">
        <f>IFERROR(__xludf.DUMMYFUNCTION("""COMPUTED_VALUE"""),"Remove Fossil Fuel Subsidies")</f>
        <v>Remove Fossil Fuel Subsidies</v>
      </c>
      <c r="G101" s="1" t="str">
        <f>IFERROR(__xludf.DUMMYFUNCTION("""COMPUTED_VALUE"""),"Proves that renewables use A TON of carbon to produce and that without Fossil Fuels we could not have access to the technology. Meaning if we take away FFS, green energy prices go through the roof.")</f>
        <v>Proves that renewables use A TON of carbon to produce and that without Fossil Fuels we could not have access to the technology. Meaning if we take away FFS, green energy prices go through the roof.</v>
      </c>
      <c r="H101" s="1" t="str">
        <f>IFERROR(__xludf.DUMMYFUNCTION("""COMPUTED_VALUE"""),"Climate change intersects with pre-existing national
security risks to function as a threat multiplier and
accelerant to instability, contributing to escalating
cycles of humanitarian and socio-political crises,
conflict and forced migration.
Climate-chan"&amp;"ge impacts on food and water
systems, declining crop yields and rising food prices
driven by drought, wildfire and harvest failures have
already become catalysts for social breakdown and
conflict across the Middle East, the Maghreb and the
Sahel, contribu"&amp;"ting to the European migration crisis.
Understanding and foreseeing such events
depends crucially on an appreciation of the real
strengths and limitations of climate-science
projections, and the application of risk-management
frameworks which differ funda"&amp;"mentally from
conventional practice")</f>
        <v>Climate change intersects with pre-existing national
security risks to function as a threat multiplier and
accelerant to instability, contributing to escalating
cycles of humanitarian and socio-political crises,
conflict and forced migration.
Climate-change impacts on food and water
systems, declining crop yields and rising food prices
driven by drought, wildfire and harvest failures have
already become catalysts for social breakdown and
conflict across the Middle East, the Maghreb and the
Sahel, contributing to the European migration crisis.
Understanding and foreseeing such events
depends crucially on an appreciation of the real
strengths and limitations of climate-science
projections, and the application of risk-management
frameworks which differ fundamentally from
conventional practice</v>
      </c>
      <c r="I101" s="1" t="str">
        <f>IFERROR(__xludf.DUMMYFUNCTION("""COMPUTED_VALUE"""),"Celletti GU")</f>
        <v>Celletti GU</v>
      </c>
      <c r="J101" s="1" t="str">
        <f>IFERROR(__xludf.DUMMYFUNCTION("""COMPUTED_VALUE"""),"1 (due   )")</f>
        <v>1 (due   )</v>
      </c>
      <c r="K101" s="5" t="str">
        <f>IFERROR(__xludf.DUMMYFUNCTION("""COMPUTED_VALUE"""),"https://drive.google.com/open?id=1koSwQFDHfE0FrMHyIqGT6lYUrpJ1IS6O")</f>
        <v>https://drive.google.com/open?id=1koSwQFDHfE0FrMHyIqGT6lYUrpJ1IS6O</v>
      </c>
      <c r="L101" s="3" t="s">
        <v>2</v>
      </c>
    </row>
    <row r="102">
      <c r="A102" s="4">
        <f>IFERROR(__xludf.DUMMYFUNCTION("""COMPUTED_VALUE"""),45530.64476940972)</f>
        <v>45530.64477</v>
      </c>
      <c r="B102" s="1" t="str">
        <f>IFERROR(__xludf.DUMMYFUNCTION("""COMPUTED_VALUE"""),"angelocthechef@gmail.com")</f>
        <v>angelocthechef@gmail.com</v>
      </c>
      <c r="C102" s="1" t="str">
        <f>IFERROR(__xludf.DUMMYFUNCTION("""COMPUTED_VALUE"""),"Martin Kueppers/IEA. (2023). Iron &amp; Steel. Steel. https://www.iea.org/energy-system/industry/steel")</f>
        <v>Martin Kueppers/IEA. (2023). Iron &amp; Steel. Steel. https://www.iea.org/energy-system/industry/steel</v>
      </c>
      <c r="D102" s="1" t="str">
        <f>IFERROR(__xludf.DUMMYFUNCTION("""COMPUTED_VALUE"""),"Doctor of Engineering, Energy Modeller at IEA, 11 publications")</f>
        <v>Doctor of Engineering, Energy Modeller at IEA, 11 publications</v>
      </c>
      <c r="E102" s="1" t="str">
        <f>IFERROR(__xludf.DUMMYFUNCTION("""COMPUTED_VALUE"""),"NEGATIVE")</f>
        <v>NEGATIVE</v>
      </c>
      <c r="F102" s="1" t="str">
        <f>IFERROR(__xludf.DUMMYFUNCTION("""COMPUTED_VALUE"""),"Remove Fossil Fuel Subsidies")</f>
        <v>Remove Fossil Fuel Subsidies</v>
      </c>
      <c r="G102" s="1" t="str">
        <f>IFERROR(__xludf.DUMMYFUNCTION("""COMPUTED_VALUE""")," Explains where the steel industry needs to change to meet global energy goals, and how hard it is, potential solvency args, and may be relevant to REM args.")</f>
        <v> Explains where the steel industry needs to change to meet global energy goals, and how hard it is, potential solvency args, and may be relevant to REM args.</v>
      </c>
      <c r="H102" s="1" t="str">
        <f>IFERROR(__xludf.DUMMYFUNCTION("""COMPUTED_VALUE"""),"N/AMartin Kueppers")</f>
        <v>N/AMartin Kueppers</v>
      </c>
      <c r="I102" s="1" t="str">
        <f>IFERROR(__xludf.DUMMYFUNCTION("""COMPUTED_VALUE"""),"Celletti GU")</f>
        <v>Celletti GU</v>
      </c>
      <c r="J102" s="1" t="str">
        <f>IFERROR(__xludf.DUMMYFUNCTION("""COMPUTED_VALUE"""),"1 (due   )")</f>
        <v>1 (due   )</v>
      </c>
      <c r="K102" s="2"/>
      <c r="L102" s="3" t="s">
        <v>2</v>
      </c>
    </row>
    <row r="103">
      <c r="A103" s="4">
        <f>IFERROR(__xludf.DUMMYFUNCTION("""COMPUTED_VALUE"""),45530.64919326389)</f>
        <v>45530.64919</v>
      </c>
      <c r="B103" s="1" t="str">
        <f>IFERROR(__xludf.DUMMYFUNCTION("""COMPUTED_VALUE"""),"angelocthechef@gmail.com")</f>
        <v>angelocthechef@gmail.com</v>
      </c>
      <c r="C103" s="1" t="str">
        <f>IFERROR(__xludf.DUMMYFUNCTION("""COMPUTED_VALUE"""),"STEFANSKI, R. (Radek). Into the Mire: A Closer Look at Fossil Fuel Subsidies. School of Public Policy Publications, [s. l.], v. 9, p. 1–42, 2016.")</f>
        <v>STEFANSKI, R. (Radek). Into the Mire: A Closer Look at Fossil Fuel Subsidies. School of Public Policy Publications, [s. l.], v. 9, p. 1–42, 2016.</v>
      </c>
      <c r="D103" s="1" t="str">
        <f>IFERROR(__xludf.DUMMYFUNCTION("""COMPUTED_VALUE"""),"Dr  Senior Lecturer, Economics (Business School) Centre for Energy Ethics")</f>
        <v>Dr  Senior Lecturer, Economics (Business School) Centre for Energy Ethics</v>
      </c>
      <c r="E103" s="1" t="str">
        <f>IFERROR(__xludf.DUMMYFUNCTION("""COMPUTED_VALUE"""),"AFFIRMATIVE")</f>
        <v>AFFIRMATIVE</v>
      </c>
      <c r="F103" s="1" t="str">
        <f>IFERROR(__xludf.DUMMYFUNCTION("""COMPUTED_VALUE"""),"Remove Fossil Fuel Subsidies")</f>
        <v>Remove Fossil Fuel Subsidies</v>
      </c>
      <c r="G103" s="1" t="str">
        <f>IFERROR(__xludf.DUMMYFUNCTION("""COMPUTED_VALUE"""),"Massive overview of empirical examples of fossil fuel subsidy effects")</f>
        <v>Massive overview of empirical examples of fossil fuel subsidy effects</v>
      </c>
      <c r="H103" s="1" t="str">
        <f>IFERROR(__xludf.DUMMYFUNCTION("""COMPUTED_VALUE"""),"Threatened by climate change, governments the world over are attempting to nudge markets in the direction of less carbon-intensive energy. Perversely, many of these governments continue to subsidize fossil fuels, distorting markets and raising emissions. "&amp;"Determining how much money is involved is difficult, as neither the providers nor the recipients of those subsidies want to own up to them.
This paper builds on a unique method to extract fossil fuel subsidies from patterns in countries’ carbon emission-t"&amp;"o-GDP ratios. This approach is useful since it: 1) overcomes the problem of scarce data; 2) derives a wider and more comparable measure of subsidies than existing measures and 3) allows for the performance of counterfactuals which help measure the impact "&amp;"of subsidies on emissions and growth.
The resultant 170-country, 30-year database finds that the financial and the environmental
costs of such subsidies are enormous, especially in China and the U.S.
The overwhelming majority of the world’s fossil fuel su"&amp;"bsidies stem from China, the U.S. and
the ex-USSR; as of 2010, this figure was $712 billion or nearly 80 per cent of the total world
value of subsidies.
For its part, Canada has been subsidizing rather than taxing fossil fuels since 1998. By 2010,
Canadia"&amp;"n subsidies sat at $13 billion, or 1.4 per cent of GDP.
In that same year, the total global direct and indirect financial costs of all such subsidies
amounted to $1.82 trillion, or 3.8 per cent of global GDP.
Aside from the money saved, in 2010 a world wi"&amp;"thout subsidies would have had carbon
emissions 36 per cent lower than they actually were.
Any government looking to ease strained budgets and make a significant (and cheap)
contribution to the fight against climate change must consider slashing fossil fu"&amp;"el subsidies.
As the data show, this is a sound decision – fiscally and environmentally.")</f>
        <v>Threatened by climate change, governments the world over are attempting to nudge markets in the direction of less carbon-intensive energy. Perversely, many of these governments continue to subsidize fossil fuels, distorting markets and raising emissions. Determining how much money is involved is difficult, as neither the providers nor the recipients of those subsidies want to own up to them.
This paper builds on a unique method to extract fossil fuel subsidies from patterns in countries’ carbon emission-to-GDP ratios. This approach is useful since it: 1) overcomes the problem of scarce data; 2) derives a wider and more comparable measure of subsidies than existing measures and 3) allows for the performance of counterfactuals which help measure the impact of subsidies on emissions and growth.
The resultant 170-country, 30-year database finds that the financial and the environmental
costs of such subsidies are enormous, especially in China and the U.S.
The overwhelming majority of the world’s fossil fuel subsidies stem from China, the U.S. and
the ex-USSR; as of 2010, this figure was $712 billion or nearly 80 per cent of the total world
value of subsidies.
For its part, Canada has been subsidizing rather than taxing fossil fuels since 1998. By 2010,
Canadian subsidies sat at $13 billion, or 1.4 per cent of GDP.
In that same year, the total global direct and indirect financial costs of all such subsidies
amounted to $1.82 trillion, or 3.8 per cent of global GDP.
Aside from the money saved, in 2010 a world without subsidies would have had carbon
emissions 36 per cent lower than they actually were.
Any government looking to ease strained budgets and make a significant (and cheap)
contribution to the fight against climate change must consider slashing fossil fuel subsidies.
As the data show, this is a sound decision – fiscally and environmentally.</v>
      </c>
      <c r="I103" s="1" t="str">
        <f>IFERROR(__xludf.DUMMYFUNCTION("""COMPUTED_VALUE"""),"Celletti GU")</f>
        <v>Celletti GU</v>
      </c>
      <c r="J103" s="1" t="str">
        <f>IFERROR(__xludf.DUMMYFUNCTION("""COMPUTED_VALUE"""),"1 (due   )")</f>
        <v>1 (due   )</v>
      </c>
      <c r="K103" s="5" t="str">
        <f>IFERROR(__xludf.DUMMYFUNCTION("""COMPUTED_VALUE"""),"https://drive.google.com/open?id=1EbkPrwsUE4VQFf5xTgrzkABbLDtb9gTG")</f>
        <v>https://drive.google.com/open?id=1EbkPrwsUE4VQFf5xTgrzkABbLDtb9gTG</v>
      </c>
      <c r="L103" s="3" t="s">
        <v>2</v>
      </c>
    </row>
    <row r="104">
      <c r="A104" s="4">
        <f>IFERROR(__xludf.DUMMYFUNCTION("""COMPUTED_VALUE"""),45530.65249030093)</f>
        <v>45530.65249</v>
      </c>
      <c r="B104" s="1" t="str">
        <f>IFERROR(__xludf.DUMMYFUNCTION("""COMPUTED_VALUE"""),"angelocthechef@gmail.com")</f>
        <v>angelocthechef@gmail.com</v>
      </c>
      <c r="C104" s="1" t="str">
        <f>IFERROR(__xludf.DUMMYFUNCTION("""COMPUTED_VALUE"""),"THOMPSON, S. Strategic Analysis of the Renewable Electricity Transition: Power to the World without Carbon Emissions? Energies (19961073), [s. l.], v. 16, n. 17, p. 6183, 2023. DOI 10.3390/en16176183.")</f>
        <v>THOMPSON, S. Strategic Analysis of the Renewable Electricity Transition: Power to the World without Carbon Emissions? Energies (19961073), [s. l.], v. 16, n. 17, p. 6183, 2023. DOI 10.3390/en16176183.</v>
      </c>
      <c r="D104" s="1" t="str">
        <f>IFERROR(__xludf.DUMMYFUNCTION("""COMPUTED_VALUE"""),"Associate Professor of Natural Resources, University of Manitoba")</f>
        <v>Associate Professor of Natural Resources, University of Manitoba</v>
      </c>
      <c r="E104" s="1" t="str">
        <f>IFERROR(__xludf.DUMMYFUNCTION("""COMPUTED_VALUE"""),"AFFIRMATIVE")</f>
        <v>AFFIRMATIVE</v>
      </c>
      <c r="F104" s="1" t="str">
        <f>IFERROR(__xludf.DUMMYFUNCTION("""COMPUTED_VALUE"""),"Remove Fossil Fuel Subsidies")</f>
        <v>Remove Fossil Fuel Subsidies</v>
      </c>
      <c r="G104" s="1" t="str">
        <f>IFERROR(__xludf.DUMMYFUNCTION("""COMPUTED_VALUE"""),"FF subsidies undermine Paris agreement, and need to be slashed")</f>
        <v>FF subsidies undermine Paris agreement, and need to be slashed</v>
      </c>
      <c r="H104" s="1" t="str">
        <f>IFERROR(__xludf.DUMMYFUNCTION("""COMPUTED_VALUE"""),"This paper explores the role of electricity in the transition to renewable energy to mitigate climate change. A systematic literature review with the Scopus database identified 92 papers relevant to the renewable electricity transition. A PESTLE (Politica"&amp;"l, Economic, Sociological, Technological, Legal, and Environmental) review of the papers provided a multidisciplinary analysis. The Paris Agreement created a global movement for carbon neutrality to address the threats of climate change, calling for a tra"&amp;"nsition to renewable electricity to lead the way and expand into new sectors and regions. Although smaller renewable technologies are ramping up, complexities thwarting the transition include locked-in assets, high upfront costs, variability of solar and "&amp;"wind energy, infrastructure, difficulty in decarbonizing transportation and industry, material resource constraints, and fossil fuel support. This research found that renewables are not replacing fossil fuels to date but adding further energy demands, so "&amp;"that greenhouse gas emissions rose in 2021 despite an increased renewable electricity share. Without a major shift in the trillions of dollars of subsidies and investment away from fossil fuels to renewables, catastrophic climate change is predicted. This"&amp;" paper found that the Paris Agreement’s commitment to net-zero carbon and the transition to renewable electricity are undermined by record-high levels of subsidies and financing for fossil fuel industry expansion. Transitioning to a climate-neutral econom"&amp;"y requires an investment away from fossil fuels into renewable energy ecosystems. Renewable electricity provides possibilities to realize sustainable development goals, climate stabilization, job creation, a green economy, and energy security with careful"&amp;" planning.")</f>
        <v>This paper explores the role of electricity in the transition to renewable energy to mitigate climate change. A systematic literature review with the Scopus database identified 92 papers relevant to the renewable electricity transition. A PESTLE (Political, Economic, Sociological, Technological, Legal, and Environmental) review of the papers provided a multidisciplinary analysis. The Paris Agreement created a global movement for carbon neutrality to address the threats of climate change, calling for a transition to renewable electricity to lead the way and expand into new sectors and regions. Although smaller renewable technologies are ramping up, complexities thwarting the transition include locked-in assets, high upfront costs, variability of solar and wind energy, infrastructure, difficulty in decarbonizing transportation and industry, material resource constraints, and fossil fuel support. This research found that renewables are not replacing fossil fuels to date but adding further energy demands, so that greenhouse gas emissions rose in 2021 despite an increased renewable electricity share. Without a major shift in the trillions of dollars of subsidies and investment away from fossil fuels to renewables, catastrophic climate change is predicted. This paper found that the Paris Agreement’s commitment to net-zero carbon and the transition to renewable electricity are undermined by record-high levels of subsidies and financing for fossil fuel industry expansion. Transitioning to a climate-neutral economy requires an investment away from fossil fuels into renewable energy ecosystems. Renewable electricity provides possibilities to realize sustainable development goals, climate stabilization, job creation, a green economy, and energy security with careful planning.</v>
      </c>
      <c r="I104" s="1" t="str">
        <f>IFERROR(__xludf.DUMMYFUNCTION("""COMPUTED_VALUE"""),"Celletti GU")</f>
        <v>Celletti GU</v>
      </c>
      <c r="J104" s="1" t="str">
        <f>IFERROR(__xludf.DUMMYFUNCTION("""COMPUTED_VALUE"""),"1 (due   )")</f>
        <v>1 (due   )</v>
      </c>
      <c r="K104" s="5" t="str">
        <f>IFERROR(__xludf.DUMMYFUNCTION("""COMPUTED_VALUE"""),"https://drive.google.com/open?id=1CGjmYomD5dBf9DfUdRD4EPhJBdVT_9rK")</f>
        <v>https://drive.google.com/open?id=1CGjmYomD5dBf9DfUdRD4EPhJBdVT_9rK</v>
      </c>
      <c r="L104" s="3" t="s">
        <v>1</v>
      </c>
    </row>
    <row r="105">
      <c r="A105" s="4">
        <f>IFERROR(__xludf.DUMMYFUNCTION("""COMPUTED_VALUE"""),45530.76774635416)</f>
        <v>45530.76775</v>
      </c>
      <c r="B105" s="1" t="str">
        <f>IFERROR(__xludf.DUMMYFUNCTION("""COMPUTED_VALUE"""),"alexmooney256@gmail.com")</f>
        <v>alexmooney256@gmail.com</v>
      </c>
      <c r="C105" s="1" t="str">
        <f>IFERROR(__xludf.DUMMYFUNCTION("""COMPUTED_VALUE"""),"Urpelainen, J. George, E. (2021). Reforming global fossil fuel subsidies: How the United States can restart international cooperation. The Brookings Institution")</f>
        <v>Urpelainen, J. George, E. (2021). Reforming global fossil fuel subsidies: How the United States can restart international cooperation. The Brookings Institution</v>
      </c>
      <c r="D105" s="1" t="str">
        <f>IFERROR(__xludf.DUMMYFUNCTION("""COMPUTED_VALUE"""),"Johannes Urpelainen: Prince Sultan bin Abdulaziz Professor of Energy, Resources and Environment - Johns Hopkins SAIS. Elisha George: Graduate Research Assistant - Initiative for Sustainable Energy Policy, Johns Hopkins University")</f>
        <v>Johannes Urpelainen: Prince Sultan bin Abdulaziz Professor of Energy, Resources and Environment - Johns Hopkins SAIS. Elisha George: Graduate Research Assistant - Initiative for Sustainable Energy Policy, Johns Hopkins University</v>
      </c>
      <c r="E105" s="1" t="str">
        <f>IFERROR(__xludf.DUMMYFUNCTION("""COMPUTED_VALUE"""),"AFFIRMATIVE")</f>
        <v>AFFIRMATIVE</v>
      </c>
      <c r="F105" s="1" t="str">
        <f>IFERROR(__xludf.DUMMYFUNCTION("""COMPUTED_VALUE"""),"Remove Fossil Fuel Subsidies")</f>
        <v>Remove Fossil Fuel Subsidies</v>
      </c>
      <c r="G105" s="1" t="str">
        <f>IFERROR(__xludf.DUMMYFUNCTION("""COMPUTED_VALUE"""),"Argues for removal of US fossil fuel subsidies in a global context. Explains how US initiative impacts global climate efforts")</f>
        <v>Argues for removal of US fossil fuel subsidies in a global context. Explains how US initiative impacts global climate efforts</v>
      </c>
      <c r="H105" s="1"/>
      <c r="I105" s="1" t="str">
        <f>IFERROR(__xludf.DUMMYFUNCTION("""COMPUTED_VALUE"""),"Mooney Hillsdale")</f>
        <v>Mooney Hillsdale</v>
      </c>
      <c r="J105" s="1" t="str">
        <f>IFERROR(__xludf.DUMMYFUNCTION("""COMPUTED_VALUE"""),"1 (due   )")</f>
        <v>1 (due   )</v>
      </c>
      <c r="K105" s="5" t="str">
        <f>IFERROR(__xludf.DUMMYFUNCTION("""COMPUTED_VALUE"""),"https://drive.google.com/open?id=1sznTTlYaDwNhYLPFILPOTFtaMWI8t_fF")</f>
        <v>https://drive.google.com/open?id=1sznTTlYaDwNhYLPFILPOTFtaMWI8t_fF</v>
      </c>
      <c r="L105" s="3" t="s">
        <v>1</v>
      </c>
    </row>
    <row r="106">
      <c r="A106" s="1"/>
      <c r="B106" s="1"/>
      <c r="C106" s="1"/>
      <c r="D106" s="1"/>
      <c r="E106" s="1"/>
      <c r="F106" s="1"/>
      <c r="G106" s="1"/>
      <c r="H106" s="1"/>
      <c r="I106" s="1"/>
      <c r="J106" s="1"/>
      <c r="K106" s="2"/>
      <c r="L106" s="1"/>
    </row>
    <row r="107">
      <c r="A107" s="1"/>
      <c r="B107" s="1"/>
      <c r="C107" s="1"/>
      <c r="D107" s="1"/>
      <c r="E107" s="1"/>
      <c r="F107" s="1"/>
      <c r="G107" s="1"/>
      <c r="H107" s="1"/>
      <c r="I107" s="1"/>
      <c r="J107" s="1"/>
      <c r="K107" s="2"/>
      <c r="L107" s="1"/>
    </row>
    <row r="108">
      <c r="A108" s="4">
        <f>IFERROR(__xludf.DUMMYFUNCTION("""COMPUTED_VALUE"""),45530.85272094907)</f>
        <v>45530.85272</v>
      </c>
      <c r="B108" s="1" t="str">
        <f>IFERROR(__xludf.DUMMYFUNCTION("""COMPUTED_VALUE"""),"alexmooney256@gmail.com")</f>
        <v>alexmooney256@gmail.com</v>
      </c>
      <c r="C108" s="1" t="str">
        <f>IFERROR(__xludf.DUMMYFUNCTION("""COMPUTED_VALUE"""),"Metcalf, G. E. (2019). On the Economics of a Carbon Tax for the United States. Brookings Papers on Economic Activity, 405-458")</f>
        <v>Metcalf, G. E. (2019). On the Economics of a Carbon Tax for the United States. Brookings Papers on Economic Activity, 405-458</v>
      </c>
      <c r="D108" s="1" t="str">
        <f>IFERROR(__xludf.DUMMYFUNCTION("""COMPUTED_VALUE"""),"Metcalf is a professor of economics at Tufts University and a research associate at the National Bureau of Economic Research.")</f>
        <v>Metcalf is a professor of economics at Tufts University and a research associate at the National Bureau of Economic Research.</v>
      </c>
      <c r="E108" s="1" t="str">
        <f>IFERROR(__xludf.DUMMYFUNCTION("""COMPUTED_VALUE"""),"AFFIRMATIVE")</f>
        <v>AFFIRMATIVE</v>
      </c>
      <c r="F108" s="1" t="str">
        <f>IFERROR(__xludf.DUMMYFUNCTION("""COMPUTED_VALUE"""),"Carbon Tax")</f>
        <v>Carbon Tax</v>
      </c>
      <c r="G108" s="1" t="str">
        <f>IFERROR(__xludf.DUMMYFUNCTION("""COMPUTED_VALUE"""),"Strong AFF advocacy supported quantitatively and by multiple empirics. ")</f>
        <v>Strong AFF advocacy supported quantitatively and by multiple empirics. </v>
      </c>
      <c r="H108" s="1" t="str">
        <f>IFERROR(__xludf.DUMMYFUNCTION("""COMPUTED_VALUE"""),"Climate change is driven by the buildup of greenhouse gases (GHGs) in the atmosphere, which is predominantly the result of the world’s consumption of fossil fuels. GHGs are a global pollution externality for which a global solution is required. I describe"&amp;" the role a domestic carbon tax could play in reducing U.S. emissions and compare and contrast alternative approaches to reducing our GHG pollution. Carbon taxes have been implemented in 23 jurisdictions around the world. I provide evidence on emission re"&amp;"ductions and the economic impact of British Columbia’s carbon tax, a broad-based carbon assessment that has been in effect for over a decade. I also provide an analysis of carbon taxes used in the countries that belong to the European Union.")</f>
        <v>Climate change is driven by the buildup of greenhouse gases (GHGs) in the atmosphere, which is predominantly the result of the world’s consumption of fossil fuels. GHGs are a global pollution externality for which a global solution is required. I describe the role a domestic carbon tax could play in reducing U.S. emissions and compare and contrast alternative approaches to reducing our GHG pollution. Carbon taxes have been implemented in 23 jurisdictions around the world. I provide evidence on emission reductions and the economic impact of British Columbia’s carbon tax, a broad-based carbon assessment that has been in effect for over a decade. I also provide an analysis of carbon taxes used in the countries that belong to the European Union.</v>
      </c>
      <c r="I108" s="1" t="str">
        <f>IFERROR(__xludf.DUMMYFUNCTION("""COMPUTED_VALUE"""),"Mooney Hillsdale")</f>
        <v>Mooney Hillsdale</v>
      </c>
      <c r="J108" s="1" t="str">
        <f>IFERROR(__xludf.DUMMYFUNCTION("""COMPUTED_VALUE"""),"1 (due   )")</f>
        <v>1 (due   )</v>
      </c>
      <c r="K108" s="5" t="str">
        <f>IFERROR(__xludf.DUMMYFUNCTION("""COMPUTED_VALUE"""),"https://drive.google.com/open?id=1W5d5V07POp--_kB4h_3t-Yu-5iLJ9YB6")</f>
        <v>https://drive.google.com/open?id=1W5d5V07POp--_kB4h_3t-Yu-5iLJ9YB6</v>
      </c>
      <c r="L108" s="3" t="s">
        <v>1</v>
      </c>
    </row>
    <row r="109">
      <c r="A109" s="4">
        <f>IFERROR(__xludf.DUMMYFUNCTION("""COMPUTED_VALUE"""),45530.856535729166)</f>
        <v>45530.85654</v>
      </c>
      <c r="B109" s="1" t="str">
        <f>IFERROR(__xludf.DUMMYFUNCTION("""COMPUTED_VALUE"""),"alexmooney256@gmail.com")</f>
        <v>alexmooney256@gmail.com</v>
      </c>
      <c r="C109" s="1" t="str">
        <f>IFERROR(__xludf.DUMMYFUNCTION("""COMPUTED_VALUE""")," Muresianu, A. (2023). Carbon Taxes in Theory and Practice. The Tax Foundation, FISCAL FACT No. 812")</f>
        <v> Muresianu, A. (2023). Carbon Taxes in Theory and Practice. The Tax Foundation, FISCAL FACT No. 812</v>
      </c>
      <c r="D109" s="1" t="str">
        <f>IFERROR(__xludf.DUMMYFUNCTION("""COMPUTED_VALUE"""),"Alex Muresianu is a Senior Policy Analyst at the Tax Foundation, focused on federal tax policy.")</f>
        <v>Alex Muresianu is a Senior Policy Analyst at the Tax Foundation, focused on federal tax policy.</v>
      </c>
      <c r="E109" s="1" t="str">
        <f>IFERROR(__xludf.DUMMYFUNCTION("""COMPUTED_VALUE"""),"MIXED")</f>
        <v>MIXED</v>
      </c>
      <c r="F109" s="1" t="str">
        <f>IFERROR(__xludf.DUMMYFUNCTION("""COMPUTED_VALUE"""),"Carbon Tax")</f>
        <v>Carbon Tax</v>
      </c>
      <c r="G109" s="1" t="str">
        <f>IFERROR(__xludf.DUMMYFUNCTION("""COMPUTED_VALUE"""),"Evaluates theoretical arguments for a carbon tax and then examines various empirics both for and against")</f>
        <v>Evaluates theoretical arguments for a carbon tax and then examines various empirics both for and against</v>
      </c>
      <c r="H109" s="1"/>
      <c r="I109" s="1" t="str">
        <f>IFERROR(__xludf.DUMMYFUNCTION("""COMPUTED_VALUE"""),"Mooney Hillsdale")</f>
        <v>Mooney Hillsdale</v>
      </c>
      <c r="J109" s="1" t="str">
        <f>IFERROR(__xludf.DUMMYFUNCTION("""COMPUTED_VALUE"""),"1 (due   )")</f>
        <v>1 (due   )</v>
      </c>
      <c r="K109" s="5" t="str">
        <f>IFERROR(__xludf.DUMMYFUNCTION("""COMPUTED_VALUE"""),"https://drive.google.com/open?id=1muUcvvTIIz_uV6lHfiHuCLI_nbj5F3tW")</f>
        <v>https://drive.google.com/open?id=1muUcvvTIIz_uV6lHfiHuCLI_nbj5F3tW</v>
      </c>
      <c r="L109" s="3" t="s">
        <v>2</v>
      </c>
    </row>
    <row r="110">
      <c r="A110" s="4">
        <f>IFERROR(__xludf.DUMMYFUNCTION("""COMPUTED_VALUE"""),45530.87396138889)</f>
        <v>45530.87396</v>
      </c>
      <c r="B110" s="1" t="str">
        <f>IFERROR(__xludf.DUMMYFUNCTION("""COMPUTED_VALUE"""),"alexmooney256@gmail.com")</f>
        <v>alexmooney256@gmail.com</v>
      </c>
      <c r="C110" s="1" t="str">
        <f>IFERROR(__xludf.DUMMYFUNCTION("""COMPUTED_VALUE"""),"Rosenbloom, D. Markard, J. Geels, F. Fuenfschilling, L. (2020). Why carbon pricing is not sufficient to mitigate climate change—and how “sustainability transition policy” can help. PNAS, 117 (16) 8664-8668")</f>
        <v>Rosenbloom, D. Markard, J. Geels, F. Fuenfschilling, L. (2020). Why carbon pricing is not sufficient to mitigate climate change—and how “sustainability transition policy” can help. PNAS, 117 (16) 8664-8668</v>
      </c>
      <c r="D110" s="1" t="str">
        <f>IFERROR(__xludf.DUMMYFUNCTION("""COMPUTED_VALUE"""),"Daniel Rosenblooma, Jochen Markardb, Frank W. Geelsc, and Lea Fuenfschilling d: a Department of Political Science, University of Toronto; b Department of Management, Technology, and Economics, ETH Zürich, ; c Alliance Manchester Business School, Universit"&amp;"y of Manchester; and d Centre for Innovation, Research and Competence in the Learning Economy, Lund University")</f>
        <v>Daniel Rosenblooma, Jochen Markardb, Frank W. Geelsc, and Lea Fuenfschilling d: a Department of Political Science, University of Toronto; b Department of Management, Technology, and Economics, ETH Zürich, ; c Alliance Manchester Business School, University of Manchester; and d Centre for Innovation, Research and Competence in the Learning Economy, Lund University</v>
      </c>
      <c r="E110" s="1" t="str">
        <f>IFERROR(__xludf.DUMMYFUNCTION("""COMPUTED_VALUE"""),"NEGATIVE")</f>
        <v>NEGATIVE</v>
      </c>
      <c r="F110" s="1" t="str">
        <f>IFERROR(__xludf.DUMMYFUNCTION("""COMPUTED_VALUE"""),"Carbon tax and Emissions Trading + CP")</f>
        <v>Carbon tax and Emissions Trading + CP</v>
      </c>
      <c r="G110" s="1" t="str">
        <f>IFERROR(__xludf.DUMMYFUNCTION("""COMPUTED_VALUE"""),"Criticizes carbon pricing and market mechanisms of addressing climate change in five ways. Includes a potential counter plan of Sustainability Transition Policy, which it defines")</f>
        <v>Criticizes carbon pricing and market mechanisms of addressing climate change in five ways. Includes a potential counter plan of Sustainability Transition Policy, which it defines</v>
      </c>
      <c r="H110" s="1" t="str">
        <f>IFERROR(__xludf.DUMMYFUNCTION("""COMPUTED_VALUE"""),"Carbon pricing is often presented as the primary policy approach to address climate change. We challenge this position and offer “sustainability transition policy” (STP) as an alternative. Carbon pricing has weaknesses with regard to five central dimensio"&amp;"ns: 1) problem framing and solution orientation, 2) policy priorities, 3) innovation approach, 4) contextual considerations, and 5) politics. In order to address the urgency of climate change and to achieve deep decarbonization, climate policy responses n"&amp;"eed to move beyond market failure reasoning and focus on fundamental changes in existing sociotechnical systems such as energy, mobility, food, and industrial production. The core principles of STP can help tackle this challenge.")</f>
        <v>Carbon pricing is often presented as the primary policy approach to address climate change. We challenge this position and offer “sustainability transition policy” (STP) as an alternative. Carbon pricing has weaknesses with regard to five central dimensions: 1) problem framing and solution orientation, 2) policy priorities, 3) innovation approach, 4) contextual considerations, and 5) politics. In order to address the urgency of climate change and to achieve deep decarbonization, climate policy responses need to move beyond market failure reasoning and focus on fundamental changes in existing sociotechnical systems such as energy, mobility, food, and industrial production. The core principles of STP can help tackle this challenge.</v>
      </c>
      <c r="I110" s="1" t="str">
        <f>IFERROR(__xludf.DUMMYFUNCTION("""COMPUTED_VALUE"""),"Mooney Hillsdale")</f>
        <v>Mooney Hillsdale</v>
      </c>
      <c r="J110" s="1" t="str">
        <f>IFERROR(__xludf.DUMMYFUNCTION("""COMPUTED_VALUE"""),"1 (due   )")</f>
        <v>1 (due   )</v>
      </c>
      <c r="K110" s="5" t="str">
        <f>IFERROR(__xludf.DUMMYFUNCTION("""COMPUTED_VALUE"""),"https://drive.google.com/open?id=1SuUf9cdaU3LbVjb4E8xY24d1xhT6tc0b")</f>
        <v>https://drive.google.com/open?id=1SuUf9cdaU3LbVjb4E8xY24d1xhT6tc0b</v>
      </c>
      <c r="L110" s="3" t="s">
        <v>1</v>
      </c>
    </row>
    <row r="111">
      <c r="A111" s="4">
        <f>IFERROR(__xludf.DUMMYFUNCTION("""COMPUTED_VALUE"""),45530.89919224537)</f>
        <v>45530.89919</v>
      </c>
      <c r="B111" s="1" t="str">
        <f>IFERROR(__xludf.DUMMYFUNCTION("""COMPUTED_VALUE"""),"ebcasey05@gmail.com")</f>
        <v>ebcasey05@gmail.com</v>
      </c>
      <c r="C111" s="1" t="str">
        <f>IFERROR(__xludf.DUMMYFUNCTION("""COMPUTED_VALUE"""),"Rentschler, J., &amp; Bazilian, M. (2018). Principles for designing effective fossil fuel subsidy reforms. In Fossil Fuel Subsidy Reforms (pp. 180–201). doi:10.4324/9781351175821-8")</f>
        <v>Rentschler, J., &amp; Bazilian, M. (2018). Principles for designing effective fossil fuel subsidy reforms. In Fossil Fuel Subsidy Reforms (pp. 180–201). doi:10.4324/9781351175821-8</v>
      </c>
      <c r="D111" s="1" t="str">
        <f>IFERROR(__xludf.DUMMYFUNCTION("""COMPUTED_VALUE"""),"Jun Rentschler (University College London, Institute for Sustainable Resources; Oxford Institute for Energy Studies) and Morgan Bazilian (KTH Royal Institute of Technology, Stockholm)")</f>
        <v>Jun Rentschler (University College London, Institute for Sustainable Resources; Oxford Institute for Energy Studies) and Morgan Bazilian (KTH Royal Institute of Technology, Stockholm)</v>
      </c>
      <c r="E111" s="1" t="str">
        <f>IFERROR(__xludf.DUMMYFUNCTION("""COMPUTED_VALUE"""),"AFFIRMATIVE")</f>
        <v>AFFIRMATIVE</v>
      </c>
      <c r="F111" s="1" t="str">
        <f>IFERROR(__xludf.DUMMYFUNCTION("""COMPUTED_VALUE"""),"Remove Fossil Fuel Subsidies")</f>
        <v>Remove Fossil Fuel Subsidies</v>
      </c>
      <c r="G111" s="1" t="str">
        <f>IFERROR(__xludf.DUMMYFUNCTION("""COMPUTED_VALUE"""),"A guide to past and present fossil fuel subsidy reforms in many different countries, which reflects upon how the US should move forward in the removal of its own. ")</f>
        <v>A guide to past and present fossil fuel subsidy reforms in many different countries, which reflects upon how the US should move forward in the removal of its own. </v>
      </c>
      <c r="H111" s="1" t="str">
        <f>IFERROR(__xludf.DUMMYFUNCTION("""COMPUTED_VALUE"""),"As the momentum for FFS reforms continues to build, policy practitioners can draw on the experiences and lessons of past reforms (both failed and successful) to guide the design and implementation of future reforms.")</f>
        <v>As the momentum for FFS reforms continues to build, policy practitioners can draw on the experiences and lessons of past reforms (both failed and successful) to guide the design and implementation of future reforms.</v>
      </c>
      <c r="I111" s="1" t="str">
        <f>IFERROR(__xludf.DUMMYFUNCTION("""COMPUTED_VALUE"""),"Casey WWU")</f>
        <v>Casey WWU</v>
      </c>
      <c r="J111" s="1" t="str">
        <f>IFERROR(__xludf.DUMMYFUNCTION("""COMPUTED_VALUE"""),"1 (due   )")</f>
        <v>1 (due   )</v>
      </c>
      <c r="K111" s="5" t="str">
        <f>IFERROR(__xludf.DUMMYFUNCTION("""COMPUTED_VALUE"""),"https://drive.google.com/open?id=1GDdkjTaRMDk4Fd_vh8xSfGQjA8KFj7j0")</f>
        <v>https://drive.google.com/open?id=1GDdkjTaRMDk4Fd_vh8xSfGQjA8KFj7j0</v>
      </c>
      <c r="L111" s="3" t="s">
        <v>1</v>
      </c>
    </row>
    <row r="112">
      <c r="A112" s="4">
        <f>IFERROR(__xludf.DUMMYFUNCTION("""COMPUTED_VALUE"""),45531.41716780093)</f>
        <v>45531.41717</v>
      </c>
      <c r="B112" s="1" t="str">
        <f>IFERROR(__xludf.DUMMYFUNCTION("""COMPUTED_VALUE"""),"cramhelwich@gmail.com")</f>
        <v>cramhelwich@gmail.com</v>
      </c>
      <c r="C112" s="1" t="str">
        <f>IFERROR(__xludf.DUMMYFUNCTION("""COMPUTED_VALUE"""),"Bailey, D. (2023). Unlocking net zero emissions: accelerating innovation &amp; deployment through carbon pricing. Climate Leadership Council")</f>
        <v>Bailey, D. (2023). Unlocking net zero emissions: accelerating innovation &amp; deployment through carbon pricing. Climate Leadership Council</v>
      </c>
      <c r="D112" s="1" t="str">
        <f>IFERROR(__xludf.DUMMYFUNCTION("""COMPUTED_VALUE"""),"CLC senior advsior; Georgetown SFS instructor.")</f>
        <v>CLC senior advsior; Georgetown SFS instructor.</v>
      </c>
      <c r="E112" s="1" t="str">
        <f>IFERROR(__xludf.DUMMYFUNCTION("""COMPUTED_VALUE"""),"AFFIRMATIVE")</f>
        <v>AFFIRMATIVE</v>
      </c>
      <c r="F112" s="1" t="str">
        <f>IFERROR(__xludf.DUMMYFUNCTION("""COMPUTED_VALUE"""),"Carbon Tax")</f>
        <v>Carbon Tax</v>
      </c>
      <c r="G112" s="1" t="str">
        <f>IFERROR(__xludf.DUMMYFUNCTION("""COMPUTED_VALUE"""),"Broad defense of carbon tax--focused on innovation")</f>
        <v>Broad defense of carbon tax--focused on innovation</v>
      </c>
      <c r="H112" s="1" t="str">
        <f>IFERROR(__xludf.DUMMYFUNCTION("""COMPUTED_VALUE"""),"n/a")</f>
        <v>n/a</v>
      </c>
      <c r="I112" s="1" t="str">
        <f>IFERROR(__xludf.DUMMYFUNCTION("""COMPUTED_VALUE"""),"Cram Helwich, UMN")</f>
        <v>Cram Helwich, UMN</v>
      </c>
      <c r="J112" s="1" t="str">
        <f>IFERROR(__xludf.DUMMYFUNCTION("""COMPUTED_VALUE"""),"1 (due   )")</f>
        <v>1 (due   )</v>
      </c>
      <c r="K112" s="5" t="str">
        <f>IFERROR(__xludf.DUMMYFUNCTION("""COMPUTED_VALUE"""),"https://drive.google.com/open?id=1jnx0QZRCwYYoHo4C4UnxZKEdLXeSJJPF")</f>
        <v>https://drive.google.com/open?id=1jnx0QZRCwYYoHo4C4UnxZKEdLXeSJJPF</v>
      </c>
      <c r="L112" s="3" t="s">
        <v>1</v>
      </c>
    </row>
    <row r="113">
      <c r="A113" s="4">
        <f>IFERROR(__xludf.DUMMYFUNCTION("""COMPUTED_VALUE"""),45531.421015995365)</f>
        <v>45531.42102</v>
      </c>
      <c r="B113" s="1" t="str">
        <f>IFERROR(__xludf.DUMMYFUNCTION("""COMPUTED_VALUE"""),"cramhelwich@gmail.com")</f>
        <v>cramhelwich@gmail.com</v>
      </c>
      <c r="C113" s="1" t="str">
        <f>IFERROR(__xludf.DUMMYFUNCTION("""COMPUTED_VALUE"""),"Bertelsen, G. &amp; Rorke, C. (2021). Meeting the cimate challenge, Climate Leadership Council")</f>
        <v>Bertelsen, G. &amp; Rorke, C. (2021). Meeting the cimate challenge, Climate Leadership Council</v>
      </c>
      <c r="D113" s="1" t="str">
        <f>IFERROR(__xludf.DUMMYFUNCTION("""COMPUTED_VALUE"""),"Bertelsen: CEO, CLC and former NAM Senior Director; Rorke--VP, CLC &amp; former Director, Energy Policy, R Street Institute")</f>
        <v>Bertelsen: CEO, CLC and former NAM Senior Director; Rorke--VP, CLC &amp; former Director, Energy Policy, R Street Institute</v>
      </c>
      <c r="E113" s="1" t="str">
        <f>IFERROR(__xludf.DUMMYFUNCTION("""COMPUTED_VALUE"""),"NEGATIVE")</f>
        <v>NEGATIVE</v>
      </c>
      <c r="F113" s="1" t="str">
        <f>IFERROR(__xludf.DUMMYFUNCTION("""COMPUTED_VALUE"""),"Carbon Tax")</f>
        <v>Carbon Tax</v>
      </c>
      <c r="G113" s="1" t="str">
        <f>IFERROR(__xludf.DUMMYFUNCTION("""COMPUTED_VALUE"""),"CT Aff--emissions, climate leadership, economic, public health benefits")</f>
        <v>CT Aff--emissions, climate leadership, economic, public health benefits</v>
      </c>
      <c r="H113" s="1" t="str">
        <f>IFERROR(__xludf.DUMMYFUNCTION("""COMPUTED_VALUE"""),"n/a")</f>
        <v>n/a</v>
      </c>
      <c r="I113" s="1" t="str">
        <f>IFERROR(__xludf.DUMMYFUNCTION("""COMPUTED_VALUE"""),"Cram Helwich UMN")</f>
        <v>Cram Helwich UMN</v>
      </c>
      <c r="J113" s="1" t="str">
        <f>IFERROR(__xludf.DUMMYFUNCTION("""COMPUTED_VALUE"""),"1 (due   )")</f>
        <v>1 (due   )</v>
      </c>
      <c r="K113" s="5" t="str">
        <f>IFERROR(__xludf.DUMMYFUNCTION("""COMPUTED_VALUE"""),"https://drive.google.com/open?id=1ki7bw2AGqzJIWBpExZu4E9DZGcq7yD_6")</f>
        <v>https://drive.google.com/open?id=1ki7bw2AGqzJIWBpExZu4E9DZGcq7yD_6</v>
      </c>
      <c r="L113" s="3" t="s">
        <v>2</v>
      </c>
    </row>
    <row r="114">
      <c r="A114" s="4">
        <f>IFERROR(__xludf.DUMMYFUNCTION("""COMPUTED_VALUE"""),45531.42263886574)</f>
        <v>45531.42264</v>
      </c>
      <c r="B114" s="1" t="str">
        <f>IFERROR(__xludf.DUMMYFUNCTION("""COMPUTED_VALUE"""),"cramhelwich@gmail.com")</f>
        <v>cramhelwich@gmail.com</v>
      </c>
      <c r="C114" s="1" t="str">
        <f>IFERROR(__xludf.DUMMYFUNCTION("""COMPUTED_VALUE"""),"Rorke, C. &amp; Bertelsen, G. (2020). America's carbon advantage. Climate Leadership Council")</f>
        <v>Rorke, C. &amp; Bertelsen, G. (2020). America's carbon advantage. Climate Leadership Council</v>
      </c>
      <c r="D114" s="1" t="str">
        <f>IFERROR(__xludf.DUMMYFUNCTION("""COMPUTED_VALUE"""),"Rorke--VP, CLC &amp; former Director, Energy Policy, R Street Institute; Bertelsen, CEO, CLC &amp; former NAM Senior Director")</f>
        <v>Rorke--VP, CLC &amp; former Director, Energy Policy, R Street Institute; Bertelsen, CEO, CLC &amp; former NAM Senior Director</v>
      </c>
      <c r="E114" s="1" t="str">
        <f>IFERROR(__xludf.DUMMYFUNCTION("""COMPUTED_VALUE"""),"AFFIRMATIVE")</f>
        <v>AFFIRMATIVE</v>
      </c>
      <c r="F114" s="1" t="str">
        <f>IFERROR(__xludf.DUMMYFUNCTION("""COMPUTED_VALUE"""),"Carbon Tax")</f>
        <v>Carbon Tax</v>
      </c>
      <c r="G114" s="1" t="str">
        <f>IFERROR(__xludf.DUMMYFUNCTION("""COMPUTED_VALUE"""),"CT--defense of border adjustment mechanisms")</f>
        <v>CT--defense of border adjustment mechanisms</v>
      </c>
      <c r="H114" s="1" t="str">
        <f>IFERROR(__xludf.DUMMYFUNCTION("""COMPUTED_VALUE"""),"n/a")</f>
        <v>n/a</v>
      </c>
      <c r="I114" s="1" t="str">
        <f>IFERROR(__xludf.DUMMYFUNCTION("""COMPUTED_VALUE"""),"Cram Helwich, UMN")</f>
        <v>Cram Helwich, UMN</v>
      </c>
      <c r="J114" s="1" t="str">
        <f>IFERROR(__xludf.DUMMYFUNCTION("""COMPUTED_VALUE"""),"1 (due   )")</f>
        <v>1 (due   )</v>
      </c>
      <c r="K114" s="5" t="str">
        <f>IFERROR(__xludf.DUMMYFUNCTION("""COMPUTED_VALUE"""),"https://drive.google.com/open?id=1_XiqsrXAm1Pt4cZ5LC7n95mMGeHGeUSr")</f>
        <v>https://drive.google.com/open?id=1_XiqsrXAm1Pt4cZ5LC7n95mMGeHGeUSr</v>
      </c>
      <c r="L114" s="3" t="s">
        <v>1</v>
      </c>
    </row>
    <row r="115">
      <c r="A115" s="4">
        <f>IFERROR(__xludf.DUMMYFUNCTION("""COMPUTED_VALUE"""),45531.42801146991)</f>
        <v>45531.42801</v>
      </c>
      <c r="B115" s="1" t="str">
        <f>IFERROR(__xludf.DUMMYFUNCTION("""COMPUTED_VALUE"""),"cramhelwich@gmail.com")</f>
        <v>cramhelwich@gmail.com</v>
      </c>
      <c r="C115" s="1" t="str">
        <f>IFERROR(__xludf.DUMMYFUNCTION("""COMPUTED_VALUE"""),"Baker et al., J.A. (May/June 2020). The strategic case for U.S. climate leadership. Foreign Affairs, 1-10.")</f>
        <v>Baker et al., J.A. (May/June 2020). The strategic case for U.S. climate leadership. Foreign Affairs, 1-10.</v>
      </c>
      <c r="D115" s="1" t="str">
        <f>IFERROR(__xludf.DUMMYFUNCTION("""COMPUTED_VALUE"""),"Former Secretary of State")</f>
        <v>Former Secretary of State</v>
      </c>
      <c r="E115" s="1" t="str">
        <f>IFERROR(__xludf.DUMMYFUNCTION("""COMPUTED_VALUE"""),"AFFIRMATIVE")</f>
        <v>AFFIRMATIVE</v>
      </c>
      <c r="F115" s="1" t="str">
        <f>IFERROR(__xludf.DUMMYFUNCTION("""COMPUTED_VALUE"""),"Carbon Tax")</f>
        <v>Carbon Tax</v>
      </c>
      <c r="G115" s="1" t="str">
        <f>IFERROR(__xludf.DUMMYFUNCTION("""COMPUTED_VALUE"""),"CT--comprehensive defense")</f>
        <v>CT--comprehensive defense</v>
      </c>
      <c r="H115" s="1" t="str">
        <f>IFERROR(__xludf.DUMMYFUNCTION("""COMPUTED_VALUE"""),"n/a")</f>
        <v>n/a</v>
      </c>
      <c r="I115" s="1" t="str">
        <f>IFERROR(__xludf.DUMMYFUNCTION("""COMPUTED_VALUE"""),"Cram Helwich, UMN")</f>
        <v>Cram Helwich, UMN</v>
      </c>
      <c r="J115" s="1" t="str">
        <f>IFERROR(__xludf.DUMMYFUNCTION("""COMPUTED_VALUE"""),"1 (due   )")</f>
        <v>1 (due   )</v>
      </c>
      <c r="K115" s="5" t="str">
        <f>IFERROR(__xludf.DUMMYFUNCTION("""COMPUTED_VALUE"""),"https://drive.google.com/open?id=173RE5CEMtZXUy9SNNuJAeRhQh-d1XrFJ")</f>
        <v>https://drive.google.com/open?id=173RE5CEMtZXUy9SNNuJAeRhQh-d1XrFJ</v>
      </c>
      <c r="L115" s="3" t="s">
        <v>2</v>
      </c>
    </row>
    <row r="116">
      <c r="A116" s="4">
        <f>IFERROR(__xludf.DUMMYFUNCTION("""COMPUTED_VALUE"""),45531.56485635416)</f>
        <v>45531.56486</v>
      </c>
      <c r="B116" s="1" t="str">
        <f>IFERROR(__xludf.DUMMYFUNCTION("""COMPUTED_VALUE"""),"uoclark2016@gmail.com")</f>
        <v>uoclark2016@gmail.com</v>
      </c>
      <c r="C116" s="1" t="str">
        <f>IFERROR(__xludf.DUMMYFUNCTION("""COMPUTED_VALUE"""),"Alexander S (2020) Post-capitalism by design not disaster. The Ecological Citizen 3(Suppl B): 13–21.")</f>
        <v>Alexander S (2020) Post-capitalism by design not disaster. The Ecological Citizen 3(Suppl B): 13–21.</v>
      </c>
      <c r="D116" s="1" t="str">
        <f>IFERROR(__xludf.DUMMYFUNCTION("""COMPUTED_VALUE"""),"Lecturer with Office for Environmental Programs, University of Melbourne (Australia); Research fellow with the Melbourne Sustainable Society Institute")</f>
        <v>Lecturer with Office for Environmental Programs, University of Melbourne (Australia); Research fellow with the Melbourne Sustainable Society Institute</v>
      </c>
      <c r="E116" s="1" t="str">
        <f>IFERROR(__xludf.DUMMYFUNCTION("""COMPUTED_VALUE"""),"NEGATIVE")</f>
        <v>NEGATIVE</v>
      </c>
      <c r="F116" s="1" t="str">
        <f>IFERROR(__xludf.DUMMYFUNCTION("""COMPUTED_VALUE"""),"Degrowth")</f>
        <v>Degrowth</v>
      </c>
      <c r="G116" s="1" t="str">
        <f>IFERROR(__xludf.DUMMYFUNCTION("""COMPUTED_VALUE"""),"Degrowth is inevitable; only its form is in question. Embracing degrowth theory is necessary so that when circumstances permit a smoother transition is possible. Solvency for an alternative.")</f>
        <v>Degrowth is inevitable; only its form is in question. Embracing degrowth theory is necessary so that when circumstances permit a smoother transition is possible. Solvency for an alternative.</v>
      </c>
      <c r="H116" s="1" t="str">
        <f>IFERROR(__xludf.DUMMYFUNCTION("""COMPUTED_VALUE"""),"This article examines how to proactively design the end of capitalism rather than simply waiting for its collapse. It argues that capitalism is unable to resolve the emerging crises, for capitalism cannot function without economic growth, yet for ecologic"&amp;"al reasons economic growth cannot continue. However, there is a coherent alternative political economy – degrowth – and the emergence of various grassroots alternatives that, suitably scaled up, could help to form a post-capitalist economy. But our cultur"&amp;"e is not yet ready to embrace degrowth, with consumer affluence and techno-optimism still at the heart of mainstream conceptions of the ‘good life’. Nonetheless, it is important to keep alive these ideas of what an ecocentric, post-capitalist economy coul"&amp;"d look like, for in a crisis what today seems impossible or implausible can suddenly become possible and even probable.")</f>
        <v>This article examines how to proactively design the end of capitalism rather than simply waiting for its collapse. It argues that capitalism is unable to resolve the emerging crises, for capitalism cannot function without economic growth, yet for ecological reasons economic growth cannot continue. However, there is a coherent alternative political economy – degrowth – and the emergence of various grassroots alternatives that, suitably scaled up, could help to form a post-capitalist economy. But our culture is not yet ready to embrace degrowth, with consumer affluence and techno-optimism still at the heart of mainstream conceptions of the ‘good life’. Nonetheless, it is important to keep alive these ideas of what an ecocentric, post-capitalist economy could look like, for in a crisis what today seems impossible or implausible can suddenly become possible and even probable.</v>
      </c>
      <c r="I116" s="1" t="str">
        <f>IFERROR(__xludf.DUMMYFUNCTION("""COMPUTED_VALUE"""),"Jacobsen Oregon")</f>
        <v>Jacobsen Oregon</v>
      </c>
      <c r="J116" s="1" t="str">
        <f>IFERROR(__xludf.DUMMYFUNCTION("""COMPUTED_VALUE"""),"1 (due   )")</f>
        <v>1 (due   )</v>
      </c>
      <c r="K116" s="5" t="str">
        <f>IFERROR(__xludf.DUMMYFUNCTION("""COMPUTED_VALUE"""),"https://drive.google.com/open?id=1efLCMnwujMT8heDoatI8OkutakS4PaSf")</f>
        <v>https://drive.google.com/open?id=1efLCMnwujMT8heDoatI8OkutakS4PaSf</v>
      </c>
      <c r="L116" s="3" t="s">
        <v>1</v>
      </c>
    </row>
    <row r="117">
      <c r="A117" s="4">
        <f>IFERROR(__xludf.DUMMYFUNCTION("""COMPUTED_VALUE"""),45531.57277337963)</f>
        <v>45531.57277</v>
      </c>
      <c r="B117" s="1" t="str">
        <f>IFERROR(__xludf.DUMMYFUNCTION("""COMPUTED_VALUE"""),"uoclark2016@gmail.com")</f>
        <v>uoclark2016@gmail.com</v>
      </c>
      <c r="C117" s="1" t="str">
        <f>IFERROR(__xludf.DUMMYFUNCTION("""COMPUTED_VALUE"""),"Dunlap, A. (2018) End the Green delusions: Industrial scale renewable energy is fossil fuel+, 10 May 2018. Verso Books author blog: https://www.versobooks.com/blogs/news/3797-end-the-green-delusions-industrial-scale-renewable-energy-is-fossil-fuel?srsltid"&amp;"=AfmBOoqOdsog8SKTRFKyNKL3c3HKgbnUclM8auVZwGubaFWG84yaMaIZ")</f>
        <v>Dunlap, A. (2018) End the Green delusions: Industrial scale renewable energy is fossil fuel+, 10 May 2018. Verso Books author blog: https://www.versobooks.com/blogs/news/3797-end-the-green-delusions-industrial-scale-renewable-energy-is-fossil-fuel?srsltid=AfmBOoqOdsog8SKTRFKyNKL3c3HKgbnUclM8auVZwGubaFWG84yaMaIZ</v>
      </c>
      <c r="D117" s="1" t="str">
        <f>IFERROR(__xludf.DUMMYFUNCTION("""COMPUTED_VALUE"""),"Post-doctoral researcher in Dept of Social and Cultural Anthropology at Vrije Universiteit Amsterdam.")</f>
        <v>Post-doctoral researcher in Dept of Social and Cultural Anthropology at Vrije Universiteit Amsterdam.</v>
      </c>
      <c r="E117" s="1" t="str">
        <f>IFERROR(__xludf.DUMMYFUNCTION("""COMPUTED_VALUE"""),"NEGATIVE")</f>
        <v>NEGATIVE</v>
      </c>
      <c r="F117" s="1" t="str">
        <f>IFERROR(__xludf.DUMMYFUNCTION("""COMPUTED_VALUE"""),"Degrowth")</f>
        <v>Degrowth</v>
      </c>
      <c r="G117" s="1" t="str">
        <f>IFERROR(__xludf.DUMMYFUNCTION("""COMPUTED_VALUE"""),"Large scale renewables transition entails massive ecological harms from consumption of scarce materials and replicates the growth logic of capitalism, ensuring failure and violence.")</f>
        <v>Large scale renewables transition entails massive ecological harms from consumption of scarce materials and replicates the growth logic of capitalism, ensuring failure and violence.</v>
      </c>
      <c r="H117" s="1"/>
      <c r="I117" s="1" t="str">
        <f>IFERROR(__xludf.DUMMYFUNCTION("""COMPUTED_VALUE"""),"Jacobsen Oregon")</f>
        <v>Jacobsen Oregon</v>
      </c>
      <c r="J117" s="1" t="str">
        <f>IFERROR(__xludf.DUMMYFUNCTION("""COMPUTED_VALUE"""),"1 (due   )")</f>
        <v>1 (due   )</v>
      </c>
      <c r="K117" s="5" t="str">
        <f>IFERROR(__xludf.DUMMYFUNCTION("""COMPUTED_VALUE"""),"https://drive.google.com/open?id=1A0ruJm-lvQXb_nmBA_ohT9AT3miJaDeD")</f>
        <v>https://drive.google.com/open?id=1A0ruJm-lvQXb_nmBA_ohT9AT3miJaDeD</v>
      </c>
      <c r="L117" s="3" t="s">
        <v>2</v>
      </c>
    </row>
    <row r="118">
      <c r="A118" s="4">
        <f>IFERROR(__xludf.DUMMYFUNCTION("""COMPUTED_VALUE"""),45531.57625452546)</f>
        <v>45531.57625</v>
      </c>
      <c r="B118" s="1" t="str">
        <f>IFERROR(__xludf.DUMMYFUNCTION("""COMPUTED_VALUE"""),"uoclark2016@gmail.com")</f>
        <v>uoclark2016@gmail.com</v>
      </c>
      <c r="C118" s="1" t="str">
        <f>IFERROR(__xludf.DUMMYFUNCTION("""COMPUTED_VALUE"""),"Dunlap, A. (2023). The green economy as counterinsurgency, or the ontological power affirming permanent ecological catastrophe. Environmental Science and Policy 139 (2023) 39–50")</f>
        <v>Dunlap, A. (2023). The green economy as counterinsurgency, or the ontological power affirming permanent ecological catastrophe. Environmental Science and Policy 139 (2023) 39–50</v>
      </c>
      <c r="D118" s="1" t="str">
        <f>IFERROR(__xludf.DUMMYFUNCTION("""COMPUTED_VALUE"""),"Centre for Development and the Environment, University of Oslo, Norway")</f>
        <v>Centre for Development and the Environment, University of Oslo, Norway</v>
      </c>
      <c r="E118" s="1" t="str">
        <f>IFERROR(__xludf.DUMMYFUNCTION("""COMPUTED_VALUE"""),"NEGATIVE")</f>
        <v>NEGATIVE</v>
      </c>
      <c r="F118" s="1" t="str">
        <f>IFERROR(__xludf.DUMMYFUNCTION("""COMPUTED_VALUE"""),"Degrowth")</f>
        <v>Degrowth</v>
      </c>
      <c r="G118" s="1" t="str">
        <f>IFERROR(__xludf.DUMMYFUNCTION("""COMPUTED_VALUE"""),"Argues the emphasis on greening capitalism while continuing growthism invigorates the global capitalist order as a form of ideological counter-insurgency, defusing and defanging opposition")</f>
        <v>Argues the emphasis on greening capitalism while continuing growthism invigorates the global capitalist order as a form of ideological counter-insurgency, defusing and defanging opposition</v>
      </c>
      <c r="H118" s="1" t="str">
        <f>IFERROR(__xludf.DUMMYFUNCTION("""COMPUTED_VALUE"""),"As old as industrialism or civilization itself, socio-ecological problems are nothing new. Despite all efforts to resolve environmental dilemmas, socio-ecological catastrophe has only intensified. Governments, in response, have unveiled the green economy "&amp;"to confront ecological and climate catastrophe. The green economy, however, has worsened socio-ecological conditions, invigorating the present trajectory of (techno)capitalist development. This article argues that the green economy serves as a tool of glo"&amp;"bal counterinsurgency, managing, preempting and redirecting the inevitable ecological anxiety that could mobilize for radical social change. While fragmenting ecological opposition, the green economy meanwhile serves as a “force multiplier” for market exp"&amp;"ansion and capitalist development, as opposed to actually working towards real socio-ecological mitigation and remediation. The article proceeds by defining counterinsurgency, and indicating its relevance to the green economy. Dissecting the technics of t"&amp;"he green economy, the next section reviews its origins and epistemological foundations by investigating the concepts and operationalization of ‘energy’, ‘biodiversity’ and ‘carbon’. Then, briefly, the article reviews the extractive reality of low-carbon i"&amp;"nfrastructures, revealing the socio-ecological harm implied and justified by the green economic and decarbonization schemes. The green economy, it concludes, is a governmental technology, preventing collective self-reflection and action to (adequately) re"&amp;"habilitate ecosystems and address the structural socio-ecological problems threatening the planet, thus preforming a counter-insurrectionary function in the service of state and capital. ")</f>
        <v>As old as industrialism or civilization itself, socio-ecological problems are nothing new. Despite all efforts to resolve environmental dilemmas, socio-ecological catastrophe has only intensified. Governments, in response, have unveiled the green economy to confront ecological and climate catastrophe. The green economy, however, has worsened socio-ecological conditions, invigorating the present trajectory of (techno)capitalist development. This article argues that the green economy serves as a tool of global counterinsurgency, managing, preempting and redirecting the inevitable ecological anxiety that could mobilize for radical social change. While fragmenting ecological opposition, the green economy meanwhile serves as a “force multiplier” for market expansion and capitalist development, as opposed to actually working towards real socio-ecological mitigation and remediation. The article proceeds by defining counterinsurgency, and indicating its relevance to the green economy. Dissecting the technics of the green economy, the next section reviews its origins and epistemological foundations by investigating the concepts and operationalization of ‘energy’, ‘biodiversity’ and ‘carbon’. Then, briefly, the article reviews the extractive reality of low-carbon infrastructures, revealing the socio-ecological harm implied and justified by the green economic and decarbonization schemes. The green economy, it concludes, is a governmental technology, preventing collective self-reflection and action to (adequately) rehabilitate ecosystems and address the structural socio-ecological problems threatening the planet, thus preforming a counter-insurrectionary function in the service of state and capital. </v>
      </c>
      <c r="I118" s="1" t="str">
        <f>IFERROR(__xludf.DUMMYFUNCTION("""COMPUTED_VALUE"""),"Jacobsen")</f>
        <v>Jacobsen</v>
      </c>
      <c r="J118" s="1" t="str">
        <f>IFERROR(__xludf.DUMMYFUNCTION("""COMPUTED_VALUE"""),"1 (due   )")</f>
        <v>1 (due   )</v>
      </c>
      <c r="K118" s="5" t="str">
        <f>IFERROR(__xludf.DUMMYFUNCTION("""COMPUTED_VALUE"""),"https://drive.google.com/open?id=1tHU1TJzAqMEoiPuiaCAljtqHLo5P-G1N")</f>
        <v>https://drive.google.com/open?id=1tHU1TJzAqMEoiPuiaCAljtqHLo5P-G1N</v>
      </c>
      <c r="L118" s="3" t="s">
        <v>1</v>
      </c>
    </row>
    <row r="119">
      <c r="A119" s="4">
        <f>IFERROR(__xludf.DUMMYFUNCTION("""COMPUTED_VALUE"""),45531.581697685186)</f>
        <v>45531.5817</v>
      </c>
      <c r="B119" s="1" t="str">
        <f>IFERROR(__xludf.DUMMYFUNCTION("""COMPUTED_VALUE"""),"uoclark2016@gmail.com")</f>
        <v>uoclark2016@gmail.com</v>
      </c>
      <c r="C119" s="1" t="str">
        <f>IFERROR(__xludf.DUMMYFUNCTION("""COMPUTED_VALUE"""),"Schwartzman, D. (2022). A critique of degrowth: An ecosocialist perspective in the context of a global Green New Deal. Climate and Capitalism. January 5, 2022. https://climateandcapitalism.com/2022/01/05/a-critique-of-degrowth/")</f>
        <v>Schwartzman, D. (2022). A critique of degrowth: An ecosocialist perspective in the context of a global Green New Deal. Climate and Capitalism. January 5, 2022. https://climateandcapitalism.com/2022/01/05/a-critique-of-degrowth/</v>
      </c>
      <c r="D119" s="1" t="str">
        <f>IFERROR(__xludf.DUMMYFUNCTION("""COMPUTED_VALUE"""),"Professor Emeritus at Howard University")</f>
        <v>Professor Emeritus at Howard University</v>
      </c>
      <c r="E119" s="1" t="str">
        <f>IFERROR(__xludf.DUMMYFUNCTION("""COMPUTED_VALUE"""),"AFFIRMATIVE")</f>
        <v>AFFIRMATIVE</v>
      </c>
      <c r="F119" s="1" t="str">
        <f>IFERROR(__xludf.DUMMYFUNCTION("""COMPUTED_VALUE"""),"Degrowth")</f>
        <v>Degrowth</v>
      </c>
      <c r="G119" s="1" t="str">
        <f>IFERROR(__xludf.DUMMYFUNCTION("""COMPUTED_VALUE"""),"Argues degrowth cannot and should not be implemented because it will never serve the interests of the global working class and ignores opportunities for a renewables transition.")</f>
        <v>Argues degrowth cannot and should not be implemented because it will never serve the interests of the global working class and ignores opportunities for a renewables transition.</v>
      </c>
      <c r="H119" s="1"/>
      <c r="I119" s="1" t="str">
        <f>IFERROR(__xludf.DUMMYFUNCTION("""COMPUTED_VALUE"""),"Jacobsen Oregon")</f>
        <v>Jacobsen Oregon</v>
      </c>
      <c r="J119" s="1" t="str">
        <f>IFERROR(__xludf.DUMMYFUNCTION("""COMPUTED_VALUE"""),"1 (due   )")</f>
        <v>1 (due   )</v>
      </c>
      <c r="K119" s="5" t="str">
        <f>IFERROR(__xludf.DUMMYFUNCTION("""COMPUTED_VALUE"""),"https://drive.google.com/open?id=1Uz5ygl7IBz9p-i84ISIavOx-nVWEb4nq")</f>
        <v>https://drive.google.com/open?id=1Uz5ygl7IBz9p-i84ISIavOx-nVWEb4nq</v>
      </c>
      <c r="L119" s="3" t="s">
        <v>1</v>
      </c>
    </row>
    <row r="120">
      <c r="A120" s="4">
        <f>IFERROR(__xludf.DUMMYFUNCTION("""COMPUTED_VALUE"""),45531.601414895835)</f>
        <v>45531.60141</v>
      </c>
      <c r="B120" s="1" t="str">
        <f>IFERROR(__xludf.DUMMYFUNCTION("""COMPUTED_VALUE"""),"uoclark2016@gmail.com")</f>
        <v>uoclark2016@gmail.com</v>
      </c>
      <c r="C120" s="1" t="str">
        <f>IFERROR(__xludf.DUMMYFUNCTION("""COMPUTED_VALUE"""),"Warlenius, R.H. (2023). The limits to degrowth: Economic and climatic consequences of pessimist assumptions on decoupling. Ecological Economics, 213(November), 107937. https://doi.org/10.1016/j.ecolecon.2023.107937.")</f>
        <v>Warlenius, R.H. (2023). The limits to degrowth: Economic and climatic consequences of pessimist assumptions on decoupling. Ecological Economics, 213(November), 107937. https://doi.org/10.1016/j.ecolecon.2023.107937.</v>
      </c>
      <c r="D120" s="1" t="str">
        <f>IFERROR(__xludf.DUMMYFUNCTION("""COMPUTED_VALUE"""),"Prof Environmental Social Science, School of Global Studies, University of Gothenburg, Sweden")</f>
        <v>Prof Environmental Social Science, School of Global Studies, University of Gothenburg, Sweden</v>
      </c>
      <c r="E120" s="1" t="str">
        <f>IFERROR(__xludf.DUMMYFUNCTION("""COMPUTED_VALUE"""),"AFFIRMATIVE")</f>
        <v>AFFIRMATIVE</v>
      </c>
      <c r="F120" s="1" t="str">
        <f>IFERROR(__xludf.DUMMYFUNCTION("""COMPUTED_VALUE"""),"Degrowth")</f>
        <v>Degrowth</v>
      </c>
      <c r="G120" s="1" t="str">
        <f>IFERROR(__xludf.DUMMYFUNCTION("""COMPUTED_VALUE"""),"Argues the core claim of degrowth advocates - ecological damage cannot be decoupled from growth - is mistaken and that degrowth is impossible to achieve.")</f>
        <v>Argues the core claim of degrowth advocates - ecological damage cannot be decoupled from growth - is mistaken and that degrowth is impossible to achieve.</v>
      </c>
      <c r="H120" s="1" t="str">
        <f>IFERROR(__xludf.DUMMYFUNCTION("""COMPUTED_VALUE"""),"In the debate between proponents of green growth and degrowth, the core issue is whether decoupling carbon emissions and resource use from GDP growth is possible, and if so, possible at a rate fast enough to achieve policy goals such as global warming of "&amp;"maximum 1.5 ◦C or 2 ◦C. In this paper, the claims by degrowth scholars on the limits of decoupling growth and carbon emissions are critically examined by assessing the economic and climate consequences of their claims. It is claimed that their pessimistic"&amp;" view on decoupling is not based on robust arguments but rather mystifications of what decoupling is. Following the assumptions by leading degrowth scholars – that decoupling (decrease of the emission intensity of GDP) are unlikely to be larger than 4% an"&amp;"d that levels of GDP need to converge in a degrowing world – indicates that the 1.5 ◦C target is ruled out altogether and that in order to reach the 2 ◦C target, the economies of the global north would have to be reduced with over 90% and for middle incom"&amp;"e countries with around 70%. This appears as very unlikely to happen. Yet, there might be alternatives, which are discussed by sketching a realist and dynamic theory of decoupling.")</f>
        <v>In the debate between proponents of green growth and degrowth, the core issue is whether decoupling carbon emissions and resource use from GDP growth is possible, and if so, possible at a rate fast enough to achieve policy goals such as global warming of maximum 1.5 ◦C or 2 ◦C. In this paper, the claims by degrowth scholars on the limits of decoupling growth and carbon emissions are critically examined by assessing the economic and climate consequences of their claims. It is claimed that their pessimistic view on decoupling is not based on robust arguments but rather mystifications of what decoupling is. Following the assumptions by leading degrowth scholars – that decoupling (decrease of the emission intensity of GDP) are unlikely to be larger than 4% and that levels of GDP need to converge in a degrowing world – indicates that the 1.5 ◦C target is ruled out altogether and that in order to reach the 2 ◦C target, the economies of the global north would have to be reduced with over 90% and for middle income countries with around 70%. This appears as very unlikely to happen. Yet, there might be alternatives, which are discussed by sketching a realist and dynamic theory of decoupling.</v>
      </c>
      <c r="I120" s="1" t="str">
        <f>IFERROR(__xludf.DUMMYFUNCTION("""COMPUTED_VALUE"""),"Jacobsen Oregon")</f>
        <v>Jacobsen Oregon</v>
      </c>
      <c r="J120" s="1" t="str">
        <f>IFERROR(__xludf.DUMMYFUNCTION("""COMPUTED_VALUE"""),"1 (due   )")</f>
        <v>1 (due   )</v>
      </c>
      <c r="K120" s="5" t="str">
        <f>IFERROR(__xludf.DUMMYFUNCTION("""COMPUTED_VALUE"""),"https://drive.google.com/open?id=1nXSZbskfKIgvcgCbNnqhvsnF7zzpOpnV")</f>
        <v>https://drive.google.com/open?id=1nXSZbskfKIgvcgCbNnqhvsnF7zzpOpnV</v>
      </c>
      <c r="L120" s="3" t="s">
        <v>1</v>
      </c>
    </row>
    <row r="121">
      <c r="A121" s="4">
        <f>IFERROR(__xludf.DUMMYFUNCTION("""COMPUTED_VALUE"""),45531.64464077546)</f>
        <v>45531.64464</v>
      </c>
      <c r="B121" s="1" t="str">
        <f>IFERROR(__xludf.DUMMYFUNCTION("""COMPUTED_VALUE"""),"uoclark2016@gmail.com")</f>
        <v>uoclark2016@gmail.com</v>
      </c>
      <c r="C121" s="1" t="str">
        <f>IFERROR(__xludf.DUMMYFUNCTION("""COMPUTED_VALUE"""),"Stuart, D., Gunderson, R. + Petersen, B. (2021). The degrowth alternative A path to address our environmental crisis? London: Routledge, pp. 1-47")</f>
        <v>Stuart, D., Gunderson, R. + Petersen, B. (2021). The degrowth alternative A path to address our environmental crisis? London: Routledge, pp. 1-47</v>
      </c>
      <c r="D121" s="1" t="str">
        <f>IFERROR(__xludf.DUMMYFUNCTION("""COMPUTED_VALUE"""),"Diana Stuart is an Associate Professor in the Sustainable Communities Program and in the School of Earth and Sustainability at Northern Arizona University, USA.  Ryan Gunderson is an Assistant Professor of Sociology and Social Justice Studies in the Depar"&amp;"tment of Sociology and Gerontology and Affiliate of the Institute for the Environment and Sustainability at Miami University, USA.  Brian Petersen is an Associate Professor in the Geography, Planning and Recreation Department at Northern Arizona Universit"&amp;"y, USA.")</f>
        <v>Diana Stuart is an Associate Professor in the Sustainable Communities Program and in the School of Earth and Sustainability at Northern Arizona University, USA.  Ryan Gunderson is an Assistant Professor of Sociology and Social Justice Studies in the Department of Sociology and Gerontology and Affiliate of the Institute for the Environment and Sustainability at Miami University, USA.  Brian Petersen is an Associate Professor in the Geography, Planning and Recreation Department at Northern Arizona University, USA.</v>
      </c>
      <c r="E121" s="1" t="str">
        <f>IFERROR(__xludf.DUMMYFUNCTION("""COMPUTED_VALUE"""),"NEGATIVE")</f>
        <v>NEGATIVE</v>
      </c>
      <c r="F121" s="1" t="str">
        <f>IFERROR(__xludf.DUMMYFUNCTION("""COMPUTED_VALUE"""),"Degrowth")</f>
        <v>Degrowth</v>
      </c>
      <c r="G121" s="1" t="str">
        <f>IFERROR(__xludf.DUMMYFUNCTION("""COMPUTED_VALUE"""),"Provides an overview of key degrowth concepts, including why it is necessary to stabilize climate, why growthism will fail, what markets and new technologies are false solutions, and explores various pathways and challenges in the efforts to achieve degro"&amp;"wth.")</f>
        <v>Provides an overview of key degrowth concepts, including why it is necessary to stabilize climate, why growthism will fail, what markets and new technologies are false solutions, and explores various pathways and challenges in the efforts to achieve degrowth.</v>
      </c>
      <c r="H121" s="1" t="str">
        <f>IFERROR(__xludf.DUMMYFUNCTION("""COMPUTED_VALUE"""),"Degrowth is a planned economic contraction in wealthy countries that reduces production and consumption—and, by extension, greenhouse gas emissions and stresses on global ecosystems—to sustainable levels within ecological limits. This book explores the id"&amp;"ea of degrowth as an economic alternative to offer a more sustainable and just future.
A growing number of scientists and scholars now recognize that a system that continues to prioritize economic growth will prevent us from effectively addressing the du"&amp;"al environmental crises of climate change and biodiversity loss. To establish the case for degrowth, the text opens by posing critical questions about our current system and identifying its limitations, as well as discussing the ineffectiveness of ""false"&amp;" solutions"" that seem to offer something new but would actually preserve the status quo. The concept of degrowth is then fully introduced along with a discussion of core principles and goals as well as major critiques and questions. The book explores wha"&amp;"t living in a degrowth society would entail and the policies needed to support degrowth. Finally, the work concludes by examining the opportunities and challenges for degrowth and a successful transition to a sustainable steady-state economy.
This book p"&amp;"rovides an advanced introduction to the environmental issues around degrowth for students, scholars and activists interested in economic alternatives, sustainability and the environment.")</f>
        <v>Degrowth is a planned economic contraction in wealthy countries that reduces production and consumption—and, by extension, greenhouse gas emissions and stresses on global ecosystems—to sustainable levels within ecological limits. This book explores the idea of degrowth as an economic alternative to offer a more sustainable and just future.
A growing number of scientists and scholars now recognize that a system that continues to prioritize economic growth will prevent us from effectively addressing the dual environmental crises of climate change and biodiversity loss. To establish the case for degrowth, the text opens by posing critical questions about our current system and identifying its limitations, as well as discussing the ineffectiveness of "false solutions" that seem to offer something new but would actually preserve the status quo. The concept of degrowth is then fully introduced along with a discussion of core principles and goals as well as major critiques and questions. The book explores what living in a degrowth society would entail and the policies needed to support degrowth. Finally, the work concludes by examining the opportunities and challenges for degrowth and a successful transition to a sustainable steady-state economy.
This book provides an advanced introduction to the environmental issues around degrowth for students, scholars and activists interested in economic alternatives, sustainability and the environment.</v>
      </c>
      <c r="I121" s="1" t="str">
        <f>IFERROR(__xludf.DUMMYFUNCTION("""COMPUTED_VALUE"""),"Jacobsen Oregon")</f>
        <v>Jacobsen Oregon</v>
      </c>
      <c r="J121" s="1" t="str">
        <f>IFERROR(__xludf.DUMMYFUNCTION("""COMPUTED_VALUE"""),"1 (due   )")</f>
        <v>1 (due   )</v>
      </c>
      <c r="K121" s="5" t="str">
        <f>IFERROR(__xludf.DUMMYFUNCTION("""COMPUTED_VALUE"""),"https://drive.google.com/open?id=1Y2bYVNw20Dli7tmcQzwx4tPjnhOMCpO0")</f>
        <v>https://drive.google.com/open?id=1Y2bYVNw20Dli7tmcQzwx4tPjnhOMCpO0</v>
      </c>
      <c r="L121" s="3" t="s">
        <v>2</v>
      </c>
    </row>
    <row r="122">
      <c r="A122" s="4">
        <f>IFERROR(__xludf.DUMMYFUNCTION("""COMPUTED_VALUE"""),45531.65066774306)</f>
        <v>45531.65067</v>
      </c>
      <c r="B122" s="1" t="str">
        <f>IFERROR(__xludf.DUMMYFUNCTION("""COMPUTED_VALUE"""),"uoclark2016@gmail.com")</f>
        <v>uoclark2016@gmail.com</v>
      </c>
      <c r="C122" s="1" t="str">
        <f>IFERROR(__xludf.DUMMYFUNCTION("""COMPUTED_VALUE"""),"Issaoui, F., Alqahtani, M., Guesmi, M., &amp; Jamee, A. (2024). Should we be sceptical in the face of calls for degrowth? Journal of Infrastructure, Policy and Development 2024, 8(5), 4292. Available at SSRN: https://ssrn.com/abstract=4555462 or http://dx.doi"&amp;".org/10.2139/ssrn.4555462")</f>
        <v>Issaoui, F., Alqahtani, M., Guesmi, M., &amp; Jamee, A. (2024). Should we be sceptical in the face of calls for degrowth? Journal of Infrastructure, Policy and Development 2024, 8(5), 4292. Available at SSRN: https://ssrn.com/abstract=4555462 or http://dx.doi.org/10.2139/ssrn.4555462</v>
      </c>
      <c r="D122" s="1" t="str">
        <f>IFERROR(__xludf.DUMMYFUNCTION("""COMPUTED_VALUE"""),"Fakhri &amp; Alqahtani @ College of Business, King Khalid University, Saudi Arabia; Guesmi @ Université de Jendouba, Tunisia; Jamee @ El Manar University, Tunisia")</f>
        <v>Fakhri &amp; Alqahtani @ College of Business, King Khalid University, Saudi Arabia; Guesmi @ Université de Jendouba, Tunisia; Jamee @ El Manar University, Tunisia</v>
      </c>
      <c r="E122" s="1" t="str">
        <f>IFERROR(__xludf.DUMMYFUNCTION("""COMPUTED_VALUE"""),"AFFIRMATIVE")</f>
        <v>AFFIRMATIVE</v>
      </c>
      <c r="F122" s="1" t="str">
        <f>IFERROR(__xludf.DUMMYFUNCTION("""COMPUTED_VALUE"""),"Degrowth")</f>
        <v>Degrowth</v>
      </c>
      <c r="G122" s="1" t="str">
        <f>IFERROR(__xludf.DUMMYFUNCTION("""COMPUTED_VALUE"""),"Argues that degrowth cannot be achieved without mitigating social policy that should be financed by a carbon tax. Carbon tax perm answer to degrowth.")</f>
        <v>Argues that degrowth cannot be achieved without mitigating social policy that should be financed by a carbon tax. Carbon tax perm answer to degrowth.</v>
      </c>
      <c r="H122" s="1" t="str">
        <f>IFERROR(__xludf.DUMMYFUNCTION("""COMPUTED_VALUE"""),"In recent years, an ‘international’ unanimity has been reached as to the importance of collective collaboration to avoid the negative effects of climate change. This requires rethinking the old or traditional development model based on economic growth as "&amp;"the exclusive indicator of wealth. Thus, humanity has an urgent need to adopt a new, more humane and fairer economic model that constitutes an alternative to the models of exponential growth that have dominated in the last two centuries. To do so, humanit"&amp;"y is looking to the Degrowth model as a potential concept that aims to reduce wealth from pollutants, seeks more justice (as equity), and the improvement of the capabilities of those who are poor and disadvantaged (in the sense of Amartya Sen and Martha N"&amp;"ussbaum). The purpose of this article is to question this model and whether it actually does improve environmental quality. Additionally, if the response is positive, another question arises: How to finance degrowth especially when we seek other less poll"&amp;"uting energy sources whose costs seem to be very high?")</f>
        <v>In recent years, an ‘international’ unanimity has been reached as to the importance of collective collaboration to avoid the negative effects of climate change. This requires rethinking the old or traditional development model based on economic growth as the exclusive indicator of wealth. Thus, humanity has an urgent need to adopt a new, more humane and fairer economic model that constitutes an alternative to the models of exponential growth that have dominated in the last two centuries. To do so, humanity is looking to the Degrowth model as a potential concept that aims to reduce wealth from pollutants, seeks more justice (as equity), and the improvement of the capabilities of those who are poor and disadvantaged (in the sense of Amartya Sen and Martha Nussbaum). The purpose of this article is to question this model and whether it actually does improve environmental quality. Additionally, if the response is positive, another question arises: How to finance degrowth especially when we seek other less polluting energy sources whose costs seem to be very high?</v>
      </c>
      <c r="I122" s="1" t="str">
        <f>IFERROR(__xludf.DUMMYFUNCTION("""COMPUTED_VALUE"""),"Jacobsen Oregon")</f>
        <v>Jacobsen Oregon</v>
      </c>
      <c r="J122" s="1" t="str">
        <f>IFERROR(__xludf.DUMMYFUNCTION("""COMPUTED_VALUE"""),"1 (due   )")</f>
        <v>1 (due   )</v>
      </c>
      <c r="K122" s="5" t="str">
        <f>IFERROR(__xludf.DUMMYFUNCTION("""COMPUTED_VALUE"""),"https://drive.google.com/open?id=1yhGfCSdpkPkcPF3bntMbqDHmtokgugFi")</f>
        <v>https://drive.google.com/open?id=1yhGfCSdpkPkcPF3bntMbqDHmtokgugFi</v>
      </c>
      <c r="L122" s="3" t="s">
        <v>1</v>
      </c>
    </row>
    <row r="123">
      <c r="A123" s="4">
        <f>IFERROR(__xludf.DUMMYFUNCTION("""COMPUTED_VALUE"""),45531.65703883102)</f>
        <v>45531.65704</v>
      </c>
      <c r="B123" s="1" t="str">
        <f>IFERROR(__xludf.DUMMYFUNCTION("""COMPUTED_VALUE"""),"uoclark2016@gmail.com")</f>
        <v>uoclark2016@gmail.com</v>
      </c>
      <c r="C123" s="1" t="str">
        <f>IFERROR(__xludf.DUMMYFUNCTION("""COMPUTED_VALUE"""),"Trainer, T. (2020). Simpler way transition theory. Real-World Economics Review, no. 93, pp. 96-112")</f>
        <v>Trainer, T. (2020). Simpler way transition theory. Real-World Economics Review, no. 93, pp. 96-112</v>
      </c>
      <c r="D123" s="1" t="str">
        <f>IFERROR(__xludf.DUMMYFUNCTION("""COMPUTED_VALUE"""),"Conjoint Lecturer in the School of Social Sciences, University of New South Wales")</f>
        <v>Conjoint Lecturer in the School of Social Sciences, University of New South Wales</v>
      </c>
      <c r="E123" s="1" t="str">
        <f>IFERROR(__xludf.DUMMYFUNCTION("""COMPUTED_VALUE"""),"AFFIRMATIVE")</f>
        <v>AFFIRMATIVE</v>
      </c>
      <c r="F123" s="1" t="str">
        <f>IFERROR(__xludf.DUMMYFUNCTION("""COMPUTED_VALUE"""),"Degrowth")</f>
        <v>Degrowth</v>
      </c>
      <c r="G123" s="1" t="str">
        <f>IFERROR(__xludf.DUMMYFUNCTION("""COMPUTED_VALUE"""),"Argues for degrowth and the need to avoid institutional collaboration favoring instead preparatory work to aid the degrowth transition when the current order inevitably collapses.")</f>
        <v>Argues for degrowth and the need to avoid institutional collaboration favoring instead preparatory work to aid the degrowth transition when the current order inevitably collapses.</v>
      </c>
      <c r="H123" s="1" t="str">
        <f>IFERROR(__xludf.DUMMYFUNCTION("""COMPUTED_VALUE"""),"Industrialised societies have far exceeded sustainable levels of production, consumption, resource use and ecological impact. It is not generally understood that this means solutions must involve De-growth to much simpler lifestyles and systems. This make"&amp;"s the goals and the means of the required transition unlike any those in any previous revolution. Industrialised, globalised, competitive, individualistic, acquisitive and market-driven society must be replaced by mostly small localized communities maximi"&amp;"sing self-sufficiency and self-government within cooperative communities embracing and frugal non-material values. The implications for the transition process are also radical. Successful strategy cannot focus on political action within existing decision "&amp;"making institutions, confronting the ruling class, taking state power or resorting to physical force. The required changes cannot be made unless they are widely seen to be desirable. Thus this is primarily a cultural revolution. Therefore a sound theory o"&amp;"f transition will be quite different to that assumed by conventional analysts, “green” activists, “populists” or those within the Marxist/socialist camp. A major element within the Simpler Way theory is the claim that official decision making institutions"&amp;" and procedures are incapable of bringing about the required changes. System collapse is therefore highly likely and desirable transition can only be achieved if sufficient commitment to The Simpler Way has previously been built.")</f>
        <v>Industrialised societies have far exceeded sustainable levels of production, consumption, resource use and ecological impact. It is not generally understood that this means solutions must involve De-growth to much simpler lifestyles and systems. This makes the goals and the means of the required transition unlike any those in any previous revolution. Industrialised, globalised, competitive, individualistic, acquisitive and market-driven society must be replaced by mostly small localized communities maximising self-sufficiency and self-government within cooperative communities embracing and frugal non-material values. The implications for the transition process are also radical. Successful strategy cannot focus on political action within existing decision making institutions, confronting the ruling class, taking state power or resorting to physical force. The required changes cannot be made unless they are widely seen to be desirable. Thus this is primarily a cultural revolution. Therefore a sound theory of transition will be quite different to that assumed by conventional analysts, “green” activists, “populists” or those within the Marxist/socialist camp. A major element within the Simpler Way theory is the claim that official decision making institutions and procedures are incapable of bringing about the required changes. System collapse is therefore highly likely and desirable transition can only be achieved if sufficient commitment to The Simpler Way has previously been built.</v>
      </c>
      <c r="I123" s="1" t="str">
        <f>IFERROR(__xludf.DUMMYFUNCTION("""COMPUTED_VALUE"""),"Jacobsen Oregon")</f>
        <v>Jacobsen Oregon</v>
      </c>
      <c r="J123" s="1" t="str">
        <f>IFERROR(__xludf.DUMMYFUNCTION("""COMPUTED_VALUE"""),"1 (due   )")</f>
        <v>1 (due   )</v>
      </c>
      <c r="K123" s="5" t="str">
        <f>IFERROR(__xludf.DUMMYFUNCTION("""COMPUTED_VALUE"""),"https://drive.google.com/open?id=1yzhHYmvAdjhl3PEK8eWQbdFSeBE7A2sP")</f>
        <v>https://drive.google.com/open?id=1yzhHYmvAdjhl3PEK8eWQbdFSeBE7A2sP</v>
      </c>
      <c r="L123" s="3" t="s">
        <v>1</v>
      </c>
    </row>
    <row r="124">
      <c r="A124" s="4">
        <f>IFERROR(__xludf.DUMMYFUNCTION("""COMPUTED_VALUE"""),45531.828550659724)</f>
        <v>45531.82855</v>
      </c>
      <c r="B124" s="1" t="str">
        <f>IFERROR(__xludf.DUMMYFUNCTION("""COMPUTED_VALUE"""),"leybasam@gmail.com")</f>
        <v>leybasam@gmail.com</v>
      </c>
      <c r="C124" s="1" t="str">
        <f>IFERROR(__xludf.DUMMYFUNCTION("""COMPUTED_VALUE"""),"Malm, Andreas (2020) To Halt Climate Change, We Need an Ecological Leninism")</f>
        <v>Malm, Andreas (2020) To Halt Climate Change, We Need an Ecological Leninism</v>
      </c>
      <c r="D124" s="1" t="str">
        <f>IFERROR(__xludf.DUMMYFUNCTION("""COMPUTED_VALUE"""),"Andreas Malm is associate senior lecturer in human ecology at Lund University. He is author of Fossil Capital: The Rise of Steam Power and the Roots of Global Warming and Corona, Climate, Chronic Emergency: War Communism in the Twenty-First Century.")</f>
        <v>Andreas Malm is associate senior lecturer in human ecology at Lund University. He is author of Fossil Capital: The Rise of Steam Power and the Roots of Global Warming and Corona, Climate, Chronic Emergency: War Communism in the Twenty-First Century.</v>
      </c>
      <c r="E124" s="1" t="str">
        <f>IFERROR(__xludf.DUMMYFUNCTION("""COMPUTED_VALUE"""),"MIXED")</f>
        <v>MIXED</v>
      </c>
      <c r="F124" s="1" t="str">
        <f>IFERROR(__xludf.DUMMYFUNCTION("""COMPUTED_VALUE"""),"Marxism K")</f>
        <v>Marxism K</v>
      </c>
      <c r="G124" s="1" t="str">
        <f>IFERROR(__xludf.DUMMYFUNCTION("""COMPUTED_VALUE"""),"Advocates for a state based control of ecology to solve climate change")</f>
        <v>Advocates for a state based control of ecology to solve climate change</v>
      </c>
      <c r="H124" s="1"/>
      <c r="I124" s="1" t="str">
        <f>IFERROR(__xludf.DUMMYFUNCTION("""COMPUTED_VALUE"""),"leyba")</f>
        <v>leyba</v>
      </c>
      <c r="J124" s="1" t="str">
        <f>IFERROR(__xludf.DUMMYFUNCTION("""COMPUTED_VALUE"""),"1 (due   )")</f>
        <v>1 (due   )</v>
      </c>
      <c r="K124" s="5" t="str">
        <f>IFERROR(__xludf.DUMMYFUNCTION("""COMPUTED_VALUE"""),"https://drive.google.com/open?id=1oGO9RNrFN3YItfsXSaEaY7Ilv8EU_A1X")</f>
        <v>https://drive.google.com/open?id=1oGO9RNrFN3YItfsXSaEaY7Ilv8EU_A1X</v>
      </c>
      <c r="L124" s="3" t="s">
        <v>1</v>
      </c>
    </row>
    <row r="125">
      <c r="A125" s="4">
        <f>IFERROR(__xludf.DUMMYFUNCTION("""COMPUTED_VALUE"""),45531.83058861111)</f>
        <v>45531.83059</v>
      </c>
      <c r="B125" s="1" t="str">
        <f>IFERROR(__xludf.DUMMYFUNCTION("""COMPUTED_VALUE"""),"leybasam@gmail.com")</f>
        <v>leybasam@gmail.com</v>
      </c>
      <c r="C125" s="1" t="str">
        <f>IFERROR(__xludf.DUMMYFUNCTION("""COMPUTED_VALUE"""),"Whyte, Kyle (2018), Settler Colonialism, Ecology, and Environmental Justice")</f>
        <v>Whyte, Kyle (2018), Settler Colonialism, Ecology, and Environmental Justice</v>
      </c>
      <c r="D125" s="1" t="str">
        <f>IFERROR(__xludf.DUMMYFUNCTION("""COMPUTED_VALUE"""),"KYLE WHYTE is the Timnick Chair in the Humanities and Associate Professor of Philosophy and Community Sustainability at Michigan State University. His research covers areas including Indigenous climate and environmental justice, the ethics of intercultura"&amp;"l knowledge exchange, and Indigenous philosophies of food sovereignty and environmental futures. He is an enrolled member of the Citizen Potawatomi Nation. ")</f>
        <v>KYLE WHYTE is the Timnick Chair in the Humanities and Associate Professor of Philosophy and Community Sustainability at Michigan State University. His research covers areas including Indigenous climate and environmental justice, the ethics of intercultural knowledge exchange, and Indigenous philosophies of food sovereignty and environmental futures. He is an enrolled member of the Citizen Potawatomi Nation. </v>
      </c>
      <c r="E125" s="1" t="str">
        <f>IFERROR(__xludf.DUMMYFUNCTION("""COMPUTED_VALUE"""),"MIXED")</f>
        <v>MIXED</v>
      </c>
      <c r="F125" s="1" t="str">
        <f>IFERROR(__xludf.DUMMYFUNCTION("""COMPUTED_VALUE"""),"Settler Colonialism K")</f>
        <v>Settler Colonialism K</v>
      </c>
      <c r="G125" s="1" t="str">
        <f>IFERROR(__xludf.DUMMYFUNCTION("""COMPUTED_VALUE"""),"Settler colonialism is a form of domination that violently disrupts human relationships with the environment. ")</f>
        <v>Settler colonialism is a form of domination that violently disrupts human relationships with the environment. </v>
      </c>
      <c r="H125" s="1" t="str">
        <f>IFERROR(__xludf.DUMMYFUNCTION("""COMPUTED_VALUE"""),"Settler colonialism is a form of domination that violently disrupts human relationships with the environment. Settler colonialism is ecological domination, committing environmental injustice against Indigenous peoples and other groups. Focusing on the con"&amp;"text of Indigenous peoples’ facing US domination, this article investigates philosophically one dimension of how settler colonialism commits environmental injustice. When examined ecologically, settler colonialism works strategically to undermine Indigeno"&amp;"us peoples’ social resilience as self-determining collectives. To understand the relationships connecting settler colonialism, environmental injustice, and violence, the article first engages Anishinaabe intellectual traditions to describe an Indigenous c"&amp;"onception of social resilience called collective continuance. One way in which settler colonial violence commits environmental injustice is through strategically undermining Indigenous collective continuance. At least two kinds of environmental injustices"&amp;" demonstrate such violence: vicious sedimentation and insidious loops. The article seeks to contribute to knowledge of how anti-Indigenous settler colonialism and environmental injustice are connected.")</f>
        <v>Settler colonialism is a form of domination that violently disrupts human relationships with the environment. Settler colonialism is ecological domination, committing environmental injustice against Indigenous peoples and other groups. Focusing on the context of Indigenous peoples’ facing US domination, this article investigates philosophically one dimension of how settler colonialism commits environmental injustice. When examined ecologically, settler colonialism works strategically to undermine Indigenous peoples’ social resilience as self-determining collectives. To understand the relationships connecting settler colonialism, environmental injustice, and violence, the article first engages Anishinaabe intellectual traditions to describe an Indigenous conception of social resilience called collective continuance. One way in which settler colonial violence commits environmental injustice is through strategically undermining Indigenous collective continuance. At least two kinds of environmental injustices demonstrate such violence: vicious sedimentation and insidious loops. The article seeks to contribute to knowledge of how anti-Indigenous settler colonialism and environmental injustice are connected.</v>
      </c>
      <c r="I125" s="1" t="str">
        <f>IFERROR(__xludf.DUMMYFUNCTION("""COMPUTED_VALUE"""),"Leyba")</f>
        <v>Leyba</v>
      </c>
      <c r="J125" s="1" t="str">
        <f>IFERROR(__xludf.DUMMYFUNCTION("""COMPUTED_VALUE"""),"1 (due   )")</f>
        <v>1 (due   )</v>
      </c>
      <c r="K125" s="5" t="str">
        <f>IFERROR(__xludf.DUMMYFUNCTION("""COMPUTED_VALUE"""),"https://drive.google.com/open?id=1Kd7Hn6RcyuIcsh_PIfH2oofKcWFPqyp1")</f>
        <v>https://drive.google.com/open?id=1Kd7Hn6RcyuIcsh_PIfH2oofKcWFPqyp1</v>
      </c>
      <c r="L125" s="3" t="s">
        <v>2</v>
      </c>
    </row>
    <row r="126">
      <c r="A126" s="4">
        <f>IFERROR(__xludf.DUMMYFUNCTION("""COMPUTED_VALUE"""),45531.833236770835)</f>
        <v>45531.83324</v>
      </c>
      <c r="B126" s="1" t="str">
        <f>IFERROR(__xludf.DUMMYFUNCTION("""COMPUTED_VALUE"""),"leybasam@gmail.com")</f>
        <v>leybasam@gmail.com</v>
      </c>
      <c r="C126" s="1" t="str">
        <f>IFERROR(__xludf.DUMMYFUNCTION("""COMPUTED_VALUE"""),"Beaty, John (2024) The Impact of the Inflation Reduction Act on Energy Justice and The Impact of the Inflation Reduction Act on Energy Justice and Green Energy Development in Indian Country Green Energy Development in Indian Country")</f>
        <v>Beaty, John (2024) The Impact of the Inflation Reduction Act on Energy Justice and The Impact of the Inflation Reduction Act on Energy Justice and Green Energy Development in Indian Country Green Energy Development in Indian Country</v>
      </c>
      <c r="D126" s="1" t="str">
        <f>IFERROR(__xludf.DUMMYFUNCTION("""COMPUTED_VALUE"""),"J.D., The University of Iowa College of Law, 2023; B.A., Carleton College, 2019. John Beaty is a litigation associate at a large law firm in the Midwest where he works with energy industry and tribal clients.")</f>
        <v>J.D., The University of Iowa College of Law, 2023; B.A., Carleton College, 2019. John Beaty is a litigation associate at a large law firm in the Midwest where he works with energy industry and tribal clients.</v>
      </c>
      <c r="E126" s="1" t="str">
        <f>IFERROR(__xludf.DUMMYFUNCTION("""COMPUTED_VALUE"""),"MIXED")</f>
        <v>MIXED</v>
      </c>
      <c r="F126" s="1" t="str">
        <f>IFERROR(__xludf.DUMMYFUNCTION("""COMPUTED_VALUE"""),"Settler Colonialism K")</f>
        <v>Settler Colonialism K</v>
      </c>
      <c r="G126" s="1" t="str">
        <f>IFERROR(__xludf.DUMMYFUNCTION("""COMPUTED_VALUE"""),"Great article about energy infrastructure and native tribes")</f>
        <v>Great article about energy infrastructure and native tribes</v>
      </c>
      <c r="H126" s="1" t="str">
        <f>IFERROR(__xludf.DUMMYFUNCTION("""COMPUTED_VALUE"""),"In the past two decades, many American Indian Tribes have been experimenting with generating power from renewable sources on reservations. The growth of tribal green energy is a positive step towards energy justice, but current projects are hampered by in"&amp;"sufficient funding, jurisdictional confusion, lack of needed infrastructure, and a baroque permitting process that leaves necessary projects languishing. The recent omnibus spending bill, the Inflation Reduction Act (IRA) was trumped by Congress as the la"&amp;"rgest investment into tribal green energy ever. This Article critically analyzes the impact of the IRA on tribal energy. While the IRA represents a necessary move towards a more effective funding structure for tribal energy projects, it failed to address "&amp;"other barriers to tribal green energy development. The Article concludes by proposing steps Congress, States, and Tribes can take to improve upon the IRA.  ")</f>
        <v>In the past two decades, many American Indian Tribes have been experimenting with generating power from renewable sources on reservations. The growth of tribal green energy is a positive step towards energy justice, but current projects are hampered by insufficient funding, jurisdictional confusion, lack of needed infrastructure, and a baroque permitting process that leaves necessary projects languishing. The recent omnibus spending bill, the Inflation Reduction Act (IRA) was trumped by Congress as the largest investment into tribal green energy ever. This Article critically analyzes the impact of the IRA on tribal energy. While the IRA represents a necessary move towards a more effective funding structure for tribal energy projects, it failed to address other barriers to tribal green energy development. The Article concludes by proposing steps Congress, States, and Tribes can take to improve upon the IRA.  </v>
      </c>
      <c r="I126" s="1" t="str">
        <f>IFERROR(__xludf.DUMMYFUNCTION("""COMPUTED_VALUE"""),"Leyba")</f>
        <v>Leyba</v>
      </c>
      <c r="J126" s="1" t="str">
        <f>IFERROR(__xludf.DUMMYFUNCTION("""COMPUTED_VALUE"""),"1 (due   )")</f>
        <v>1 (due   )</v>
      </c>
      <c r="K126" s="5" t="str">
        <f>IFERROR(__xludf.DUMMYFUNCTION("""COMPUTED_VALUE"""),"https://drive.google.com/open?id=13LFQgg47KVT2pkWt3eb-8l_L358xM2jS")</f>
        <v>https://drive.google.com/open?id=13LFQgg47KVT2pkWt3eb-8l_L358xM2jS</v>
      </c>
      <c r="L126" s="3" t="s">
        <v>1</v>
      </c>
    </row>
    <row r="127">
      <c r="A127" s="4">
        <f>IFERROR(__xludf.DUMMYFUNCTION("""COMPUTED_VALUE"""),45531.83440923611)</f>
        <v>45531.83441</v>
      </c>
      <c r="B127" s="1" t="str">
        <f>IFERROR(__xludf.DUMMYFUNCTION("""COMPUTED_VALUE"""),"leybasam@gmail.com")</f>
        <v>leybasam@gmail.com</v>
      </c>
      <c r="C127" s="1" t="str">
        <f>IFERROR(__xludf.DUMMYFUNCTION("""COMPUTED_VALUE"""),"Tuck &amp; Yang (2012) Decolonization is not a metaphor ")</f>
        <v>Tuck &amp; Yang (2012) Decolonization is not a metaphor </v>
      </c>
      <c r="D127" s="1" t="str">
        <f>IFERROR(__xludf.DUMMYFUNCTION("""COMPUTED_VALUE"""),"Great authors on Decol. They speak for themselves")</f>
        <v>Great authors on Decol. They speak for themselves</v>
      </c>
      <c r="E127" s="1" t="str">
        <f>IFERROR(__xludf.DUMMYFUNCTION("""COMPUTED_VALUE"""),"NEGATIVE")</f>
        <v>NEGATIVE</v>
      </c>
      <c r="F127" s="1" t="str">
        <f>IFERROR(__xludf.DUMMYFUNCTION("""COMPUTED_VALUE"""),"Settler Colonialism")</f>
        <v>Settler Colonialism</v>
      </c>
      <c r="G127" s="1" t="str">
        <f>IFERROR(__xludf.DUMMYFUNCTION("""COMPUTED_VALUE"""),"Our goal in this article is to remind readers what is unsettling about decolonization. Decolonization brings about the repatriation of Indigenous land and life; it is not a metaphor for other things we want to do to improve our societies and schools")</f>
        <v>Our goal in this article is to remind readers what is unsettling about decolonization. Decolonization brings about the repatriation of Indigenous land and life; it is not a metaphor for other things we want to do to improve our societies and schools</v>
      </c>
      <c r="H127" s="1"/>
      <c r="I127" s="1" t="str">
        <f>IFERROR(__xludf.DUMMYFUNCTION("""COMPUTED_VALUE"""),"Leyba")</f>
        <v>Leyba</v>
      </c>
      <c r="J127" s="1" t="str">
        <f>IFERROR(__xludf.DUMMYFUNCTION("""COMPUTED_VALUE"""),"1 (due   )")</f>
        <v>1 (due   )</v>
      </c>
      <c r="K127" s="5" t="str">
        <f>IFERROR(__xludf.DUMMYFUNCTION("""COMPUTED_VALUE"""),"https://drive.google.com/open?id=1m1bkcCwex77sTJfqkS264CaHJPikYNSx")</f>
        <v>https://drive.google.com/open?id=1m1bkcCwex77sTJfqkS264CaHJPikYNSx</v>
      </c>
      <c r="L127" s="3" t="s">
        <v>1</v>
      </c>
    </row>
    <row r="128">
      <c r="A128" s="4">
        <f>IFERROR(__xludf.DUMMYFUNCTION("""COMPUTED_VALUE"""),45531.83687837963)</f>
        <v>45531.83688</v>
      </c>
      <c r="B128" s="1" t="str">
        <f>IFERROR(__xludf.DUMMYFUNCTION("""COMPUTED_VALUE"""),"leybasam@gmail.com")</f>
        <v>leybasam@gmail.com</v>
      </c>
      <c r="C128" s="1" t="str">
        <f>IFERROR(__xludf.DUMMYFUNCTION("""COMPUTED_VALUE"""),"Noisecat, Julian Brave, 2017) When the Indians Defeat the Cowboys")</f>
        <v>Noisecat, Julian Brave, 2017) When the Indians Defeat the Cowboys</v>
      </c>
      <c r="D128" s="1" t="str">
        <f>IFERROR(__xludf.DUMMYFUNCTION("""COMPUTED_VALUE"""),"Julian Brave NoiseCat is an enrolled member of the Canim Lake Band Tsq'escen in British Columbia and a graduate of Columbia University and the University of Oxford.")</f>
        <v>Julian Brave NoiseCat is an enrolled member of the Canim Lake Band Tsq'escen in British Columbia and a graduate of Columbia University and the University of Oxford.</v>
      </c>
      <c r="E128" s="1" t="str">
        <f>IFERROR(__xludf.DUMMYFUNCTION("""COMPUTED_VALUE"""),"AFFIRMATIVE")</f>
        <v>AFFIRMATIVE</v>
      </c>
      <c r="F128" s="1" t="str">
        <f>IFERROR(__xludf.DUMMYFUNCTION("""COMPUTED_VALUE"""),"Settler Colonialism K")</f>
        <v>Settler Colonialism K</v>
      </c>
      <c r="G128" s="1" t="str">
        <f>IFERROR(__xludf.DUMMYFUNCTION("""COMPUTED_VALUE"""),"Great answer to the K about engaging in legalism and systems")</f>
        <v>Great answer to the K about engaging in legalism and systems</v>
      </c>
      <c r="H128" s="1"/>
      <c r="I128" s="1" t="str">
        <f>IFERROR(__xludf.DUMMYFUNCTION("""COMPUTED_VALUE"""),"Leyba")</f>
        <v>Leyba</v>
      </c>
      <c r="J128" s="1" t="str">
        <f>IFERROR(__xludf.DUMMYFUNCTION("""COMPUTED_VALUE"""),"1 (due   )")</f>
        <v>1 (due   )</v>
      </c>
      <c r="K128" s="5" t="str">
        <f>IFERROR(__xludf.DUMMYFUNCTION("""COMPUTED_VALUE"""),"https://drive.google.com/open?id=1Rpi5GCR3_4IuF2cGCXBNTciIatw-qjgY")</f>
        <v>https://drive.google.com/open?id=1Rpi5GCR3_4IuF2cGCXBNTciIatw-qjgY</v>
      </c>
      <c r="L128" s="3" t="s">
        <v>1</v>
      </c>
    </row>
    <row r="129">
      <c r="A129" s="4">
        <f>IFERROR(__xludf.DUMMYFUNCTION("""COMPUTED_VALUE"""),45531.84019513889)</f>
        <v>45531.8402</v>
      </c>
      <c r="B129" s="1" t="str">
        <f>IFERROR(__xludf.DUMMYFUNCTION("""COMPUTED_VALUE"""),"leybasam@gmail.com")</f>
        <v>leybasam@gmail.com</v>
      </c>
      <c r="C129" s="1" t="str">
        <f>IFERROR(__xludf.DUMMYFUNCTION("""COMPUTED_VALUE"""),"Svirsky, Marcelo 2016, Resistance is a structure not an event")</f>
        <v>Svirsky, Marcelo 2016, Resistance is a structure not an event</v>
      </c>
      <c r="D129" s="1" t="str">
        <f>IFERROR(__xludf.DUMMYFUNCTION("""COMPUTED_VALUE"""),"School of Humanities and Social Inquiry, University of Wollongong, Wollongong, NSW, Australia")</f>
        <v>School of Humanities and Social Inquiry, University of Wollongong, Wollongong, NSW, Australia</v>
      </c>
      <c r="E129" s="1" t="str">
        <f>IFERROR(__xludf.DUMMYFUNCTION("""COMPUTED_VALUE"""),"AFFIRMATIVE")</f>
        <v>AFFIRMATIVE</v>
      </c>
      <c r="F129" s="1" t="str">
        <f>IFERROR(__xludf.DUMMYFUNCTION("""COMPUTED_VALUE"""),"Settler Colonialism K")</f>
        <v>Settler Colonialism K</v>
      </c>
      <c r="G129" s="1" t="str">
        <f>IFERROR(__xludf.DUMMYFUNCTION("""COMPUTED_VALUE"""),"Answer to Tuck and Yang")</f>
        <v>Answer to Tuck and Yang</v>
      </c>
      <c r="H129" s="1" t="str">
        <f>IFERROR(__xludf.DUMMYFUNCTION("""COMPUTED_VALUE"""),"By looking into the case of Palestine, this article has two goals: the
first is to provide philosophical scaffolding to the theme of
resistance in settler colonial theory, and in so doing to argue that
resistance need to be regarded as part of the structu"&amp;"re in settler
social formations. Secondly, the article rereads ‘the logic of
elimination’ upon which settler colonialism is founded in order to
suggest that as a settler colonial project Zionism historically
evolved via a process of ‘double elimination’ –"&amp;" of indigenous life
and of shared life. The aim of this article is then to fold the
second conclusion into the first: alongside with indigenous
resistance, shared life need be conceived as part of the structural
struggle against settler colonialism. The a"&amp;"rticle has three sections.
In the first section, the state of the art in the field of settler
colonial studies is presented in order to identify strengths and
weaknesses. The second section offers a conceptualisation of the
idea/practice of resistance by "&amp;"drawing from Gilles Deleuze and
Félix Guattari’s works. The last section reframes the logic of
elimination concluding with a political vision that expands on the
notion of resistance.")</f>
        <v>By looking into the case of Palestine, this article has two goals: the
first is to provide philosophical scaffolding to the theme of
resistance in settler colonial theory, and in so doing to argue that
resistance need to be regarded as part of the structure in settler
social formations. Secondly, the article rereads ‘the logic of
elimination’ upon which settler colonialism is founded in order to
suggest that as a settler colonial project Zionism historically
evolved via a process of ‘double elimination’ – of indigenous life
and of shared life. The aim of this article is then to fold the
second conclusion into the first: alongside with indigenous
resistance, shared life need be conceived as part of the structural
struggle against settler colonialism. The article has three sections.
In the first section, the state of the art in the field of settler
colonial studies is presented in order to identify strengths and
weaknesses. The second section offers a conceptualisation of the
idea/practice of resistance by drawing from Gilles Deleuze and
Félix Guattari’s works. The last section reframes the logic of
elimination concluding with a political vision that expands on the
notion of resistance.</v>
      </c>
      <c r="I129" s="1" t="str">
        <f>IFERROR(__xludf.DUMMYFUNCTION("""COMPUTED_VALUE"""),"Leyba")</f>
        <v>Leyba</v>
      </c>
      <c r="J129" s="1" t="str">
        <f>IFERROR(__xludf.DUMMYFUNCTION("""COMPUTED_VALUE"""),"1 (due   )")</f>
        <v>1 (due   )</v>
      </c>
      <c r="K129" s="5" t="str">
        <f>IFERROR(__xludf.DUMMYFUNCTION("""COMPUTED_VALUE"""),"https://drive.google.com/open?id=1FMrC_V0HjnR8iN850vElSXT2AMKoT-rn")</f>
        <v>https://drive.google.com/open?id=1FMrC_V0HjnR8iN850vElSXT2AMKoT-rn</v>
      </c>
      <c r="L129" s="3" t="s">
        <v>1</v>
      </c>
    </row>
    <row r="130">
      <c r="A130" s="4">
        <f>IFERROR(__xludf.DUMMYFUNCTION("""COMPUTED_VALUE"""),45531.84264863426)</f>
        <v>45531.84265</v>
      </c>
      <c r="B130" s="1" t="str">
        <f>IFERROR(__xludf.DUMMYFUNCTION("""COMPUTED_VALUE"""),"leybasam@gmail.com")</f>
        <v>leybasam@gmail.com</v>
      </c>
      <c r="C130" s="1" t="str">
        <f>IFERROR(__xludf.DUMMYFUNCTION("""COMPUTED_VALUE"""),"Macoun &amp; Strakosch (2013) The ethical demands of settler colonial theory")</f>
        <v>Macoun &amp; Strakosch (2013) The ethical demands of settler colonial theory</v>
      </c>
      <c r="D130" s="1" t="str">
        <f>IFERROR(__xludf.DUMMYFUNCTION("""COMPUTED_VALUE"""),"a Indigenous Studies Research Network, Queensland University of Technology, Brisbane, Australia;b Institute for Culture and Society, University of Western Sydney, Sydney, Australia")</f>
        <v>a Indigenous Studies Research Network, Queensland University of Technology, Brisbane, Australia;b Institute for Culture and Society, University of Western Sydney, Sydney, Australia</v>
      </c>
      <c r="E130" s="1" t="str">
        <f>IFERROR(__xludf.DUMMYFUNCTION("""COMPUTED_VALUE"""),"AFFIRMATIVE")</f>
        <v>AFFIRMATIVE</v>
      </c>
      <c r="F130" s="1" t="str">
        <f>IFERROR(__xludf.DUMMYFUNCTION("""COMPUTED_VALUE"""),"Settler Colonialism K")</f>
        <v>Settler Colonialism K</v>
      </c>
      <c r="G130" s="1" t="str">
        <f>IFERROR(__xludf.DUMMYFUNCTION("""COMPUTED_VALUE"""),"Answers Set Col very well")</f>
        <v>Answers Set Col very well</v>
      </c>
      <c r="H130" s="1" t="str">
        <f>IFERROR(__xludf.DUMMYFUNCTION("""COMPUTED_VALUE"""),"This article explores the strengths and limitations of settler colonial theory (SCT) as a tool fornon-Indigenous scholars seeking to disturb rather than re-enact colonial privilege. Based on anexamination of recent Australian academic debates on settler c"&amp;"olonialism and the NorthernTerritory intervention, we argue that SCT is useful in dehistoricizing colonialism, usuallypresented as an unfortunate but already transcended national past, and in revealing theintimate connections between settler emotions, kno"&amp;"wledges, institutions and policies. Mostimportantly, it makes settler investments visible to settlers, in terms we understand and ﬁndhard to escape. However, as others have noted, SCT seems unable to transcend itself, in thesense that it posits a structur"&amp;"al inevitability to the settler colonial relationship. We suggestthat this structuralism can be mobilized by settler scholars in ways that delegitimizeIndigenous resistance and reinforce violent colonial relationships. But while settlers come tostay and t"&amp;"o erase Indigenous political existence, this does not mean that these intentions willbe realized or must remain ﬁxed. Non-Indigenous scholars should challenge the politicallyconvenient conﬂation of settler desires and reality, and of the political present"&amp;" and thefuture. This article highlights these issues in order to begin to unlock the transformativepotential of SCT, engaging settler scholars as political actors and arguing that this approachhas the potential to facilitate conversations and alliances wi"&amp;"th Indigenous people. It isprecisely by using the strengths of SCT that we can challenge its limitations; the theoryitself places ethical demands on us as settlers, including the demand that we actively refuseits potential to re-empower our own academic v"&amp;"oices and to marginalize Indigenous resistance")</f>
        <v>This article explores the strengths and limitations of settler colonial theory (SCT) as a tool fornon-Indigenous scholars seeking to disturb rather than re-enact colonial privilege. Based on anexamination of recent Australian academic debates on settler colonialism and the NorthernTerritory intervention, we argue that SCT is useful in dehistoricizing colonialism, usuallypresented as an unfortunate but already transcended national past, and in revealing theintimate connections between settler emotions, knowledges, institutions and policies. Mostimportantly, it makes settler investments visible to settlers, in terms we understand and ﬁndhard to escape. However, as others have noted, SCT seems unable to transcend itself, in thesense that it posits a structural inevitability to the settler colonial relationship. We suggestthat this structuralism can be mobilized by settler scholars in ways that delegitimizeIndigenous resistance and reinforce violent colonial relationships. But while settlers come tostay and to erase Indigenous political existence, this does not mean that these intentions willbe realized or must remain ﬁxed. Non-Indigenous scholars should challenge the politicallyconvenient conﬂation of settler desires and reality, and of the political present and thefuture. This article highlights these issues in order to begin to unlock the transformativepotential of SCT, engaging settler scholars as political actors and arguing that this approachhas the potential to facilitate conversations and alliances with Indigenous people. It isprecisely by using the strengths of SCT that we can challenge its limitations; the theoryitself places ethical demands on us as settlers, including the demand that we actively refuseits potential to re-empower our own academic voices and to marginalize Indigenous resistance</v>
      </c>
      <c r="I130" s="1" t="str">
        <f>IFERROR(__xludf.DUMMYFUNCTION("""COMPUTED_VALUE"""),"Leyba")</f>
        <v>Leyba</v>
      </c>
      <c r="J130" s="1" t="str">
        <f>IFERROR(__xludf.DUMMYFUNCTION("""COMPUTED_VALUE"""),"1 (due   )")</f>
        <v>1 (due   )</v>
      </c>
      <c r="K130" s="5" t="str">
        <f>IFERROR(__xludf.DUMMYFUNCTION("""COMPUTED_VALUE"""),"https://drive.google.com/open?id=1MhHgxpNdlVYPpvRkedE3wFtPpKrfMBmV")</f>
        <v>https://drive.google.com/open?id=1MhHgxpNdlVYPpvRkedE3wFtPpKrfMBmV</v>
      </c>
      <c r="L130" s="3" t="s">
        <v>2</v>
      </c>
    </row>
    <row r="131">
      <c r="A131" s="4">
        <f>IFERROR(__xludf.DUMMYFUNCTION("""COMPUTED_VALUE"""),45531.888515081024)</f>
        <v>45531.88852</v>
      </c>
      <c r="B131" s="1" t="str">
        <f>IFERROR(__xludf.DUMMYFUNCTION("""COMPUTED_VALUE"""),"uoclark2016@gmail.com")</f>
        <v>uoclark2016@gmail.com</v>
      </c>
      <c r="C131" s="1" t="str">
        <f>IFERROR(__xludf.DUMMYFUNCTION("""COMPUTED_VALUE"""),"Vandeventer, J.S., Cattaneo, C., &amp; Zografos, C. (2019). A degrowth transition: Pathways for the degrowth niche to replace the capitalist-growth regime. Ecological Economics 156 (2019) 272–286")</f>
        <v>Vandeventer, J.S., Cattaneo, C., &amp; Zografos, C. (2019). A degrowth transition: Pathways for the degrowth niche to replace the capitalist-growth regime. Ecological Economics 156 (2019) 272–286</v>
      </c>
      <c r="D131" s="1" t="str">
        <f>IFERROR(__xludf.DUMMYFUNCTION("""COMPUTED_VALUE"""),"Vandeventer @Manchester Metropolitan University Business School, England; Cattaneo @ Barcelona Institute of Regional and Metropolitan Studies, Autonomous University of Barcelona, Spain; Zografos @ Johns Hopkins University - Pompeu Fabra University Public "&amp;"Policy Centre, Barcelona, Spain")</f>
        <v>Vandeventer @Manchester Metropolitan University Business School, England; Cattaneo @ Barcelona Institute of Regional and Metropolitan Studies, Autonomous University of Barcelona, Spain; Zografos @ Johns Hopkins University - Pompeu Fabra University Public Policy Centre, Barcelona, Spain</v>
      </c>
      <c r="E131" s="1" t="str">
        <f>IFERROR(__xludf.DUMMYFUNCTION("""COMPUTED_VALUE"""),"NEGATIVE")</f>
        <v>NEGATIVE</v>
      </c>
      <c r="F131" s="1" t="str">
        <f>IFERROR(__xludf.DUMMYFUNCTION("""COMPUTED_VALUE"""),"Degrowth")</f>
        <v>Degrowth</v>
      </c>
      <c r="G131" s="1" t="str">
        <f>IFERROR(__xludf.DUMMYFUNCTION("""COMPUTED_VALUE"""),"Sophisticated examination of the environment-structure-agency question in the context of niche actions that facilitate the degrowth transition. Critique solvency.")</f>
        <v>Sophisticated examination of the environment-structure-agency question in the context of niche actions that facilitate the degrowth transition. Critique solvency.</v>
      </c>
      <c r="H131" s="1" t="str">
        <f>IFERROR(__xludf.DUMMYFUNCTION("""COMPUTED_VALUE"""),"Facing the intertwined environmental, social and economic crisis requires us to seriously consider alternatives to the current capitalist system, including the emerging concept of degrowth. Existing understandings of degrowth have focused on characterizin"&amp;"g the shape, the key elements and the proposals for a degrowth society. However, its dynamic and evolving nature as an alternative vision of the future, and the dynamics of a transition toward degrowth are inadequately considered. This paper seeks to addr"&amp;"ess this conceptual gap through a reconceptualisation of degrowth as a radical niche innovation to the capitalist-growth regime. By extending the multi-level perspective framework to the capitalist-growth system, we undertake a critical reconsideration of"&amp;" the multi-level perspective, exposing key assumptions of this framework grounded in capitalist economic theory. Through this, we propose a Pluriversal potential pathway for change. To consider this further, a bibliometric analysis is used to measure and "&amp;"visualize research activity in degrowth as a proxy for the processes of development of the degrowth niche. Then, we return to the multi-level perspective to consider two potential pathways for change involving the degrowth niche and the capitalist-growth "&amp;"regime. Finally, we point to areas for further research that build on this new conceptualisation of a degrowth transition. ")</f>
        <v>Facing the intertwined environmental, social and economic crisis requires us to seriously consider alternatives to the current capitalist system, including the emerging concept of degrowth. Existing understandings of degrowth have focused on characterizing the shape, the key elements and the proposals for a degrowth society. However, its dynamic and evolving nature as an alternative vision of the future, and the dynamics of a transition toward degrowth are inadequately considered. This paper seeks to address this conceptual gap through a reconceptualisation of degrowth as a radical niche innovation to the capitalist-growth regime. By extending the multi-level perspective framework to the capitalist-growth system, we undertake a critical reconsideration of the multi-level perspective, exposing key assumptions of this framework grounded in capitalist economic theory. Through this, we propose a Pluriversal potential pathway for change. To consider this further, a bibliometric analysis is used to measure and visualize research activity in degrowth as a proxy for the processes of development of the degrowth niche. Then, we return to the multi-level perspective to consider two potential pathways for change involving the degrowth niche and the capitalist-growth regime. Finally, we point to areas for further research that build on this new conceptualisation of a degrowth transition. </v>
      </c>
      <c r="I131" s="1" t="str">
        <f>IFERROR(__xludf.DUMMYFUNCTION("""COMPUTED_VALUE"""),"Jacobsen Oregon")</f>
        <v>Jacobsen Oregon</v>
      </c>
      <c r="J131" s="1" t="str">
        <f>IFERROR(__xludf.DUMMYFUNCTION("""COMPUTED_VALUE"""),"1 (due   )")</f>
        <v>1 (due   )</v>
      </c>
      <c r="K131" s="5" t="str">
        <f>IFERROR(__xludf.DUMMYFUNCTION("""COMPUTED_VALUE"""),"https://drive.google.com/open?id=1Cv0rYwvxZOSyRz4q4R9b09QqRvIMloaB")</f>
        <v>https://drive.google.com/open?id=1Cv0rYwvxZOSyRz4q4R9b09QqRvIMloaB</v>
      </c>
      <c r="L131" s="3" t="s">
        <v>2</v>
      </c>
    </row>
    <row r="132">
      <c r="A132" s="4">
        <f>IFERROR(__xludf.DUMMYFUNCTION("""COMPUTED_VALUE"""),45531.89164809028)</f>
        <v>45531.89165</v>
      </c>
      <c r="B132" s="1" t="str">
        <f>IFERROR(__xludf.DUMMYFUNCTION("""COMPUTED_VALUE"""),"uoclark2016@gmail.com")</f>
        <v>uoclark2016@gmail.com</v>
      </c>
      <c r="C132" s="1" t="str">
        <f>IFERROR(__xludf.DUMMYFUNCTION("""COMPUTED_VALUE"""),"Gunderson, R., Stuart, D., &amp; Peterson, B.(2018) Ideological obstacles to effective climate policy: The greening of markets, technology, and growth. Capital &amp; Class, 42(1), 133-160")</f>
        <v>Gunderson, R., Stuart, D., &amp; Peterson, B.(2018) Ideological obstacles to effective climate policy: The greening of markets, technology, and growth. Capital &amp; Class, 42(1), 133-160</v>
      </c>
      <c r="D132" s="1" t="str">
        <f>IFERROR(__xludf.DUMMYFUNCTION("""COMPUTED_VALUE"""),"Ryan Gunderson Miami University, USA; Stuart Northern Arizona University, USA; Petersen Northern Arizona University, USA")</f>
        <v>Ryan Gunderson Miami University, USA; Stuart Northern Arizona University, USA; Petersen Northern Arizona University, USA</v>
      </c>
      <c r="E132" s="1" t="str">
        <f>IFERROR(__xludf.DUMMYFUNCTION("""COMPUTED_VALUE"""),"NEGATIVE")</f>
        <v>NEGATIVE</v>
      </c>
      <c r="F132" s="1" t="str">
        <f>IFERROR(__xludf.DUMMYFUNCTION("""COMPUTED_VALUE"""),"Degrowth")</f>
        <v>Degrowth</v>
      </c>
      <c r="G132" s="1" t="str">
        <f>IFERROR(__xludf.DUMMYFUNCTION("""COMPUTED_VALUE"""),"Degrowth criticism links. Argues that greening markets, technological optimism, and faith in growth all produce ideological effects that preclude or obscure both the need for and opportunities for socioecological transformation")</f>
        <v>Degrowth criticism links. Argues that greening markets, technological optimism, and faith in growth all produce ideological effects that preclude or obscure both the need for and opportunities for socioecological transformation</v>
      </c>
      <c r="H132" s="1" t="str">
        <f>IFERROR(__xludf.DUMMYFUNCTION("""COMPUTED_VALUE"""),"In light of the 2015 Paris Climate Agreement, this project synthesizes and
advances critiques of the possibility of a sustainable capitalism by adopting
an explicit ‘negative’ theory of ideology, understood as ideas that conceal
contradictions through the"&amp;" reification and/or legitimation of the existing social
order. Prominent climate change policy frameworks – the ‘greening’ of markets
(market-corrective measures), technology (alternative energy, energy efficiency,
and geoengineering), and growth (the gre"&amp;"en growth strategy) – are shown to
conceal one or both of the two systemic socio-ecological contradictions inherent
in the current social formation: (1) a contradiction between capital’s growthdependence
and the latter’s degrading impact on the climate (t"&amp;"he ‘capital-climate
contradiction’) and (2) a contradiction between the potential of using technological
infrastructure that aids in emissions reductions and the institutionalized social
relations that obstruct this technical potential (the ‘technical pot"&amp;"ential-productive
relations contradiction’). Attempts to reform the very techniques and institutions
that brought about the climate crisis will remain ineffective and reproduce the social order that results in climate change. After proposing a way in whic"&amp;"h
societies might move out of the ideological trappings of green markets, technology,
and growth, two alternatives are proposed: economic degrowth coupled with
Marcuse’s conception of a ‘new technology’.")</f>
        <v>In light of the 2015 Paris Climate Agreement, this project synthesizes and
advances critiques of the possibility of a sustainable capitalism by adopting
an explicit ‘negative’ theory of ideology, understood as ideas that conceal
contradictions through the reification and/or legitimation of the existing social
order. Prominent climate change policy frameworks – the ‘greening’ of markets
(market-corrective measures), technology (alternative energy, energy efficiency,
and geoengineering), and growth (the green growth strategy) – are shown to
conceal one or both of the two systemic socio-ecological contradictions inherent
in the current social formation: (1) a contradiction between capital’s growthdependence
and the latter’s degrading impact on the climate (the ‘capital-climate
contradiction’) and (2) a contradiction between the potential of using technological
infrastructure that aids in emissions reductions and the institutionalized social
relations that obstruct this technical potential (the ‘technical potential-productive
relations contradiction’). Attempts to reform the very techniques and institutions
that brought about the climate crisis will remain ineffective and reproduce the social order that results in climate change. After proposing a way in which
societies might move out of the ideological trappings of green markets, technology,
and growth, two alternatives are proposed: economic degrowth coupled with
Marcuse’s conception of a ‘new technology’.</v>
      </c>
      <c r="I132" s="1" t="str">
        <f>IFERROR(__xludf.DUMMYFUNCTION("""COMPUTED_VALUE"""),"Jacobsen Oregon")</f>
        <v>Jacobsen Oregon</v>
      </c>
      <c r="J132" s="1" t="str">
        <f>IFERROR(__xludf.DUMMYFUNCTION("""COMPUTED_VALUE"""),"1 (due   )")</f>
        <v>1 (due   )</v>
      </c>
      <c r="K132" s="5" t="str">
        <f>IFERROR(__xludf.DUMMYFUNCTION("""COMPUTED_VALUE"""),"https://drive.google.com/open?id=1CNkSlcD87gemBBI7x1-PUYcfAA2sQbIT")</f>
        <v>https://drive.google.com/open?id=1CNkSlcD87gemBBI7x1-PUYcfAA2sQbIT</v>
      </c>
      <c r="L132" s="3" t="s">
        <v>1</v>
      </c>
    </row>
    <row r="133">
      <c r="A133" s="4">
        <f>IFERROR(__xludf.DUMMYFUNCTION("""COMPUTED_VALUE"""),45531.896015798615)</f>
        <v>45531.89602</v>
      </c>
      <c r="B133" s="1" t="str">
        <f>IFERROR(__xludf.DUMMYFUNCTION("""COMPUTED_VALUE"""),"uoclark2016@gmail.com")</f>
        <v>uoclark2016@gmail.com</v>
      </c>
      <c r="C133" s="1" t="str">
        <f>IFERROR(__xludf.DUMMYFUNCTION("""COMPUTED_VALUE"""),"Jackson, T., Hickel, J. &amp; Kallis, G. (2024). Confronting the dilemma of growth. A response to Warlenius (2023). Ecological Economics, 220(2024), 108089")</f>
        <v>Jackson, T., Hickel, J. &amp; Kallis, G. (2024). Confronting the dilemma of growth. A response to Warlenius (2023). Ecological Economics, 220(2024), 108089</v>
      </c>
      <c r="D133" s="1" t="str">
        <f>IFERROR(__xludf.DUMMYFUNCTION("""COMPUTED_VALUE"""),"Jackson @Centre for the understanding of Sustainable Prosperity, University of Surrey, UK; Hickel &amp; Kallis @Institute of Environmental Science and Technology (ICTA-UAB) and Department of Anthropology, Autonomous University of Barcelona, Spain")</f>
        <v>Jackson @Centre for the understanding of Sustainable Prosperity, University of Surrey, UK; Hickel &amp; Kallis @Institute of Environmental Science and Technology (ICTA-UAB) and Department of Anthropology, Autonomous University of Barcelona, Spain</v>
      </c>
      <c r="E133" s="1" t="str">
        <f>IFERROR(__xludf.DUMMYFUNCTION("""COMPUTED_VALUE"""),"NEGATIVE")</f>
        <v>NEGATIVE</v>
      </c>
      <c r="F133" s="1" t="str">
        <f>IFERROR(__xludf.DUMMYFUNCTION("""COMPUTED_VALUE"""),"Degrowth")</f>
        <v>Degrowth</v>
      </c>
      <c r="G133" s="1" t="str">
        <f>IFERROR(__xludf.DUMMYFUNCTION("""COMPUTED_VALUE"""),"Responds to Warlenius (2023) criticism of degrowth analysis of decoupling and reasserts that degrowth is not economic collapse and that growth cannot produce decoupling.")</f>
        <v>Responds to Warlenius (2023) criticism of degrowth analysis of decoupling and reasserts that degrowth is not economic collapse and that growth cannot produce decoupling.</v>
      </c>
      <c r="H133" s="1" t="str">
        <f>IFERROR(__xludf.DUMMYFUNCTION("""COMPUTED_VALUE"""),"This commentary responds to a recent article in this journal (Warlenius, 2023) purporting to identify the ‘limits to degrowth’. We first clarify and set in context the tensions between growth rates and decoupling rates on which the argument is based. In p"&amp;"articular, we show how failing to achieve sufficient decoupling appears to leave society torn between missing our climate targets and crashing our economies. This dilemma highlights the tough choices inherent in the climate transition. But it does not imp"&amp;"ly that critics of growth endorse economic collapse. On the contrary, the intention of postgrowth scholars is clearly to prevent this collapse by offering structural and social reforms, alongside technological options, as a way of meeting climate targets."&amp;" Specifically we dispute the claim that growth is the best way to achieve high rates of decoupling. Counter to this, we present several mechanisms through which a growth-critical approach may be better aligned with the climate transition than an economic "&amp;"ideology founded on ‘growth at all costs’. ")</f>
        <v>This commentary responds to a recent article in this journal (Warlenius, 2023) purporting to identify the ‘limits to degrowth’. We first clarify and set in context the tensions between growth rates and decoupling rates on which the argument is based. In particular, we show how failing to achieve sufficient decoupling appears to leave society torn between missing our climate targets and crashing our economies. This dilemma highlights the tough choices inherent in the climate transition. But it does not imply that critics of growth endorse economic collapse. On the contrary, the intention of postgrowth scholars is clearly to prevent this collapse by offering structural and social reforms, alongside technological options, as a way of meeting climate targets. Specifically we dispute the claim that growth is the best way to achieve high rates of decoupling. Counter to this, we present several mechanisms through which a growth-critical approach may be better aligned with the climate transition than an economic ideology founded on ‘growth at all costs’. </v>
      </c>
      <c r="I133" s="1" t="str">
        <f>IFERROR(__xludf.DUMMYFUNCTION("""COMPUTED_VALUE"""),"Jacobsen Oregon")</f>
        <v>Jacobsen Oregon</v>
      </c>
      <c r="J133" s="1" t="str">
        <f>IFERROR(__xludf.DUMMYFUNCTION("""COMPUTED_VALUE"""),"1 (due   )")</f>
        <v>1 (due   )</v>
      </c>
      <c r="K133" s="5" t="str">
        <f>IFERROR(__xludf.DUMMYFUNCTION("""COMPUTED_VALUE"""),"https://drive.google.com/open?id=1AqAAtm-sbabrjPQbuGyTcqCfJS6YdOXk")</f>
        <v>https://drive.google.com/open?id=1AqAAtm-sbabrjPQbuGyTcqCfJS6YdOXk</v>
      </c>
      <c r="L133" s="3" t="s">
        <v>1</v>
      </c>
    </row>
    <row r="134">
      <c r="A134" s="4">
        <f>IFERROR(__xludf.DUMMYFUNCTION("""COMPUTED_VALUE"""),45531.904372986115)</f>
        <v>45531.90437</v>
      </c>
      <c r="B134" s="1" t="str">
        <f>IFERROR(__xludf.DUMMYFUNCTION("""COMPUTED_VALUE"""),"uoclark2016@gmail.com")</f>
        <v>uoclark2016@gmail.com</v>
      </c>
      <c r="C134" s="1" t="str">
        <f>IFERROR(__xludf.DUMMYFUNCTION("""COMPUTED_VALUE"""),"Achakulwisut, P., Erickson, P. &amp; Koplow, D. (2021). Effect of subsidies and regulatory exemptions on 2020–2030 oil and gas production and profits in the United States. Environmental Research Letters, 16(8), 084023. https://doi.org/10.1088/1748-9326/ac0a10")</f>
        <v>Achakulwisut, P., Erickson, P. &amp; Koplow, D. (2021). Effect of subsidies and regulatory exemptions on 2020–2030 oil and gas production and profits in the United States. Environmental Research Letters, 16(8), 084023. https://doi.org/10.1088/1748-9326/ac0a10</v>
      </c>
      <c r="D134" s="1" t="str">
        <f>IFERROR(__xludf.DUMMYFUNCTION("""COMPUTED_VALUE"""),"Achakulwisut &amp; Erickson @Stockholm Environment Institute, Somerville, MA, USA; Koplow @Earth Track, Inc., Cambridge, MA, USA")</f>
        <v>Achakulwisut &amp; Erickson @Stockholm Environment Institute, Somerville, MA, USA; Koplow @Earth Track, Inc., Cambridge, MA, USA</v>
      </c>
      <c r="E134" s="1" t="str">
        <f>IFERROR(__xludf.DUMMYFUNCTION("""COMPUTED_VALUE"""),"NEGATIVE")</f>
        <v>NEGATIVE</v>
      </c>
      <c r="F134" s="1" t="str">
        <f>IFERROR(__xludf.DUMMYFUNCTION("""COMPUTED_VALUE"""),"Natural Gas DA to subsidies aff")</f>
        <v>Natural Gas DA to subsidies aff</v>
      </c>
      <c r="G134" s="1" t="str">
        <f>IFERROR(__xludf.DUMMYFUNCTION("""COMPUTED_VALUE"""),"Describes role of subsidies, direct and indirect in recent and future growth in fracking for natural gas")</f>
        <v>Describes role of subsidies, direct and indirect in recent and future growth in fracking for natural gas</v>
      </c>
      <c r="H134" s="1" t="str">
        <f>IFERROR(__xludf.DUMMYFUNCTION("""COMPUTED_VALUE"""),"The United States has supported the development of its oil and gas industry since the early twentieth century. Despite repeated pledges to phase out ‘inefficient’ fossil fuel subsidies, US oil and gas production continues to be subsidized by billions of d"&amp;"ollars each year. In this study, we quantify how 16 subsidies and regulatory exemptions individually and altogether affect the economics of US oil and gas production in 2020–2030 under different price and financial risk outlooks. We find that, at 2019 ave"&amp;"rage market prices of oil and gas, the 16 subsidies could increase the average rates of return of yet-to-be-developed oil and gas fields by 55% and 68% over unsubsidized levels, respectively, with over 96% of subsidy value flowing to excess profits under "&amp;"a 10% hurdle rate. At lower 2020 prices, the subsidies could increase the average rates of return of new oil and gas fields by 63% and 78% over unsubsidized levels, respectively, with more than 60% of oil and gas resources being dependent on subsidies to "&amp;"be profitable under a 20% hurdle rate. Under all price scenarios analyzed, the highest-value subsidies include federal tax incentives that have existed since 1916, as well as less recognized forms of support such as cost exemptions related to well cleanup"&amp;" and hazardous waste management. Given that these results depend on our chosen definitions of what constitutes a subsidy and, in some cases, assumptions regarding what the unsubsidized practices should be, we also present results for selected subsets of s"&amp;"ubsidies. By showing which subsidies have the greatest effects in different producing regions of the country, our findings can help policymakers chart a schedule of targeted subsidy repeals and regulatory reforms that can contribute to reducing carbon dio"&amp;"xide emissions and achieving other sustainable development goals. Our results can also help inform how different choices about economic recovery measures in response to the COVID-19 pandemic can shape the US oil and gas industry in the years to come.")</f>
        <v>The United States has supported the development of its oil and gas industry since the early twentieth century. Despite repeated pledges to phase out ‘inefficient’ fossil fuel subsidies, US oil and gas production continues to be subsidized by billions of dollars each year. In this study, we quantify how 16 subsidies and regulatory exemptions individually and altogether affect the economics of US oil and gas production in 2020–2030 under different price and financial risk outlooks. We find that, at 2019 average market prices of oil and gas, the 16 subsidies could increase the average rates of return of yet-to-be-developed oil and gas fields by 55% and 68% over unsubsidized levels, respectively, with over 96% of subsidy value flowing to excess profits under a 10% hurdle rate. At lower 2020 prices, the subsidies could increase the average rates of return of new oil and gas fields by 63% and 78% over unsubsidized levels, respectively, with more than 60% of oil and gas resources being dependent on subsidies to be profitable under a 20% hurdle rate. Under all price scenarios analyzed, the highest-value subsidies include federal tax incentives that have existed since 1916, as well as less recognized forms of support such as cost exemptions related to well cleanup and hazardous waste management. Given that these results depend on our chosen definitions of what constitutes a subsidy and, in some cases, assumptions regarding what the unsubsidized practices should be, we also present results for selected subsets of subsidies. By showing which subsidies have the greatest effects in different producing regions of the country, our findings can help policymakers chart a schedule of targeted subsidy repeals and regulatory reforms that can contribute to reducing carbon dioxide emissions and achieving other sustainable development goals. Our results can also help inform how different choices about economic recovery measures in response to the COVID-19 pandemic can shape the US oil and gas industry in the years to come.</v>
      </c>
      <c r="I134" s="1" t="str">
        <f>IFERROR(__xludf.DUMMYFUNCTION("""COMPUTED_VALUE"""),"Jacobsen Oregon")</f>
        <v>Jacobsen Oregon</v>
      </c>
      <c r="J134" s="1" t="str">
        <f>IFERROR(__xludf.DUMMYFUNCTION("""COMPUTED_VALUE"""),"1 (due   )")</f>
        <v>1 (due   )</v>
      </c>
      <c r="K134" s="5" t="str">
        <f>IFERROR(__xludf.DUMMYFUNCTION("""COMPUTED_VALUE"""),"https://drive.google.com/open?id=1L5pyIOM-00WmPJ-UUbamSOx93ywf0DC8")</f>
        <v>https://drive.google.com/open?id=1L5pyIOM-00WmPJ-UUbamSOx93ywf0DC8</v>
      </c>
      <c r="L134" s="3" t="s">
        <v>2</v>
      </c>
    </row>
    <row r="135">
      <c r="A135" s="4">
        <f>IFERROR(__xludf.DUMMYFUNCTION("""COMPUTED_VALUE"""),45531.90834589121)</f>
        <v>45531.90835</v>
      </c>
      <c r="B135" s="1" t="str">
        <f>IFERROR(__xludf.DUMMYFUNCTION("""COMPUTED_VALUE"""),"uoclark2016@gmail.com")</f>
        <v>uoclark2016@gmail.com</v>
      </c>
      <c r="C135" s="1" t="str">
        <f>IFERROR(__xludf.DUMMYFUNCTION("""COMPUTED_VALUE"""),"Wu, K., Paranjothi, G., Milford, J.B. &amp; Kreith, F. (2016). Transition to sustainability with natural gas from fracking, Sustainable Energy Technologies and Assessments, 14(2016), 26-34")</f>
        <v>Wu, K., Paranjothi, G., Milford, J.B. &amp; Kreith, F. (2016). Transition to sustainability with natural gas from fracking, Sustainable Energy Technologies and Assessments, 14(2016), 26-34</v>
      </c>
      <c r="D135" s="1" t="str">
        <f>IFERROR(__xludf.DUMMYFUNCTION("""COMPUTED_VALUE"""),"All @ Department of Mechanical Engineering, University of Colorado Boulder, Boulder, CO 80309, United States")</f>
        <v>All @ Department of Mechanical Engineering, University of Colorado Boulder, Boulder, CO 80309, United States</v>
      </c>
      <c r="E135" s="1" t="str">
        <f>IFERROR(__xludf.DUMMYFUNCTION("""COMPUTED_VALUE"""),"NEGATIVE")</f>
        <v>NEGATIVE</v>
      </c>
      <c r="F135" s="1" t="str">
        <f>IFERROR(__xludf.DUMMYFUNCTION("""COMPUTED_VALUE"""),"Natural gas DA to subsidies aff")</f>
        <v>Natural gas DA to subsidies aff</v>
      </c>
      <c r="G135" s="1" t="str">
        <f>IFERROR(__xludf.DUMMYFUNCTION("""COMPUTED_VALUE"""),"Argues that only natural gas can provide the near term energy to build out a renewables system. ")</f>
        <v>Argues that only natural gas can provide the near term energy to build out a renewables system. </v>
      </c>
      <c r="H135" s="1" t="str">
        <f>IFERROR(__xludf.DUMMYFUNCTION("""COMPUTED_VALUE"""),"This paper analyzes the energy requirements and cost of constructing a renewable energy system with the excess energy available from natural gas obtained by hydraulic fracturing. Using U.S. Energy Information Administration estimates of the future availab"&amp;"ility of natural gas and estimates from the literature of the energy required to build a wind power and photovoltaic (PV) electricity generation system, we develop a scenario for constructing a sustainable electricity system for the United States. A preli"&amp;"minary analysis is made of the cost of the renewable system. Net reductions in emissions of greenhouse gases and oxides of nitrogen are also estimated. The analysis suggests that it would be possible to build a sustainable electricity system from the exce"&amp;"ss natural gas from fracking in less than 30 years. After that, the energy produced from the renewable system is sufficient to replace obsolete equipment and construct new generation technology as required by growth in demand. Even after accounting for th"&amp;"e emissions associated with its construction and operation, the sustainable system would reduce greenhouse gas (GHG) and nitrogen oxides emissions compared to continued use of a fossil fuel system. ")</f>
        <v>This paper analyzes the energy requirements and cost of constructing a renewable energy system with the excess energy available from natural gas obtained by hydraulic fracturing. Using U.S. Energy Information Administration estimates of the future availability of natural gas and estimates from the literature of the energy required to build a wind power and photovoltaic (PV) electricity generation system, we develop a scenario for constructing a sustainable electricity system for the United States. A preliminary analysis is made of the cost of the renewable system. Net reductions in emissions of greenhouse gases and oxides of nitrogen are also estimated. The analysis suggests that it would be possible to build a sustainable electricity system from the excess natural gas from fracking in less than 30 years. After that, the energy produced from the renewable system is sufficient to replace obsolete equipment and construct new generation technology as required by growth in demand. Even after accounting for the emissions associated with its construction and operation, the sustainable system would reduce greenhouse gas (GHG) and nitrogen oxides emissions compared to continued use of a fossil fuel system. </v>
      </c>
      <c r="I135" s="1" t="str">
        <f>IFERROR(__xludf.DUMMYFUNCTION("""COMPUTED_VALUE"""),"Jacobsen Oregon")</f>
        <v>Jacobsen Oregon</v>
      </c>
      <c r="J135" s="1" t="str">
        <f>IFERROR(__xludf.DUMMYFUNCTION("""COMPUTED_VALUE"""),"1 (due   )")</f>
        <v>1 (due   )</v>
      </c>
      <c r="K135" s="5" t="str">
        <f>IFERROR(__xludf.DUMMYFUNCTION("""COMPUTED_VALUE"""),"https://drive.google.com/open?id=10Naj8Q-Hbq1BUojpbEVxdVlt5pL3WZpO")</f>
        <v>https://drive.google.com/open?id=10Naj8Q-Hbq1BUojpbEVxdVlt5pL3WZpO</v>
      </c>
      <c r="L135" s="3" t="s">
        <v>2</v>
      </c>
    </row>
    <row r="136">
      <c r="A136" s="4">
        <f>IFERROR(__xludf.DUMMYFUNCTION("""COMPUTED_VALUE"""),45531.914007280095)</f>
        <v>45531.91401</v>
      </c>
      <c r="B136" s="1" t="str">
        <f>IFERROR(__xludf.DUMMYFUNCTION("""COMPUTED_VALUE"""),"uoclark2016@gmail.com")</f>
        <v>uoclark2016@gmail.com</v>
      </c>
      <c r="C136" s="1" t="str">
        <f>IFERROR(__xludf.DUMMYFUNCTION("""COMPUTED_VALUE"""),"Gürsan, C. &amp; de Gooyert, V. (2021). The systemic impact of a transition fuel: Does natural gas help or hinder the energy transition? Renewable and Sustainable Energy Reviews, 138(2021), 110552")</f>
        <v>Gürsan, C. &amp; de Gooyert, V. (2021). The systemic impact of a transition fuel: Does natural gas help or hinder the energy transition? Renewable and Sustainable Energy Reviews, 138(2021), 110552</v>
      </c>
      <c r="D136" s="1" t="str">
        <f>IFERROR(__xludf.DUMMYFUNCTION("""COMPUTED_VALUE"""),"Institute for Management Research, Netherlands")</f>
        <v>Institute for Management Research, Netherlands</v>
      </c>
      <c r="E136" s="1" t="str">
        <f>IFERROR(__xludf.DUMMYFUNCTION("""COMPUTED_VALUE"""),"MIXED")</f>
        <v>MIXED</v>
      </c>
      <c r="F136" s="1" t="str">
        <f>IFERROR(__xludf.DUMMYFUNCTION("""COMPUTED_VALUE"""),"Natural gas DA to subsidies aff")</f>
        <v>Natural gas DA to subsidies aff</v>
      </c>
      <c r="G136" s="1" t="str">
        <f>IFERROR(__xludf.DUMMYFUNCTION("""COMPUTED_VALUE"""),"Describes the conditions under which natural gas can and cannot serve as a bridge fuel to a renewables future")</f>
        <v>Describes the conditions under which natural gas can and cannot serve as a bridge fuel to a renewables future</v>
      </c>
      <c r="H136" s="1" t="str">
        <f>IFERROR(__xludf.DUMMYFUNCTION("""COMPUTED_VALUE"""),"In the Paris Agreement, many nations set ambitious global goals to stabilize and reduce carbon emissions to mitigate climate change. A large share of these emissions is caused by electricity production. Scientists have been debating the viability of using"&amp;" natural gas as a transition fuel while renewable energies mature technologically and economically. Although natural gas might help the energy transition by reducing emissions compared to coal, there are other long-term implications of investing in natura"&amp;"l gas which can work against reaching climate goals. One concern is that investments in natural gas might crowd out investments in renewable alternatives. This research reviews the literature on the role of natural gas in reducing carbon emissions to miti"&amp;"gate climate change and to bridge between coal and renewable technologies. We advance the debate by laying out how various positive and negative effects of natural gas interrelate. Our research warns that natural gas’ negative delayed and global effects c"&amp;"an easily outweigh the positive immediate and local effects unless precautions are taken. Existing studies agree that natural gas helps avoid greenhouse gas emissions in the short term, while unintended long term effects might also hinder the transition i"&amp;"nto renewables. Our review helps to inform the policymaking process by reviewing the systemic effects of using natural gas as a transition fuel and suggests policy actions to avoid the negative long term consequences")</f>
        <v>In the Paris Agreement, many nations set ambitious global goals to stabilize and reduce carbon emissions to mitigate climate change. A large share of these emissions is caused by electricity production. Scientists have been debating the viability of using natural gas as a transition fuel while renewable energies mature technologically and economically. Although natural gas might help the energy transition by reducing emissions compared to coal, there are other long-term implications of investing in natural gas which can work against reaching climate goals. One concern is that investments in natural gas might crowd out investments in renewable alternatives. This research reviews the literature on the role of natural gas in reducing carbon emissions to mitigate climate change and to bridge between coal and renewable technologies. We advance the debate by laying out how various positive and negative effects of natural gas interrelate. Our research warns that natural gas’ negative delayed and global effects can easily outweigh the positive immediate and local effects unless precautions are taken. Existing studies agree that natural gas helps avoid greenhouse gas emissions in the short term, while unintended long term effects might also hinder the transition into renewables. Our review helps to inform the policymaking process by reviewing the systemic effects of using natural gas as a transition fuel and suggests policy actions to avoid the negative long term consequences</v>
      </c>
      <c r="I136" s="1" t="str">
        <f>IFERROR(__xludf.DUMMYFUNCTION("""COMPUTED_VALUE"""),"Jacobsen Oregon")</f>
        <v>Jacobsen Oregon</v>
      </c>
      <c r="J136" s="1" t="str">
        <f>IFERROR(__xludf.DUMMYFUNCTION("""COMPUTED_VALUE"""),"1 (due   )")</f>
        <v>1 (due   )</v>
      </c>
      <c r="K136" s="5" t="str">
        <f>IFERROR(__xludf.DUMMYFUNCTION("""COMPUTED_VALUE"""),"https://drive.google.com/open?id=1yKJjqYXEIwH89MZbA0T_CfBVJ1y8AjIz")</f>
        <v>https://drive.google.com/open?id=1yKJjqYXEIwH89MZbA0T_CfBVJ1y8AjIz</v>
      </c>
      <c r="L136" s="3" t="s">
        <v>1</v>
      </c>
    </row>
    <row r="137">
      <c r="A137" s="4">
        <f>IFERROR(__xludf.DUMMYFUNCTION("""COMPUTED_VALUE"""),45531.91708921296)</f>
        <v>45531.91709</v>
      </c>
      <c r="B137" s="1" t="str">
        <f>IFERROR(__xludf.DUMMYFUNCTION("""COMPUTED_VALUE"""),"uoclark2016@gmail.com")</f>
        <v>uoclark2016@gmail.com</v>
      </c>
      <c r="C137" s="1" t="str">
        <f>IFERROR(__xludf.DUMMYFUNCTION("""COMPUTED_VALUE"""),"Gonclaves, C., Choi, T. &amp; Van Kote, T. (2020). Energy transition bridge fuel. Do we still need natural gas? Berkeley Research Group")</f>
        <v>Gonclaves, C., Choi, T. &amp; Van Kote, T. (2020). Energy transition bridge fuel. Do we still need natural gas? Berkeley Research Group</v>
      </c>
      <c r="D137" s="1" t="str">
        <f>IFERROR(__xludf.DUMMYFUNCTION("""COMPUTED_VALUE"""),"Berkeley Research Group")</f>
        <v>Berkeley Research Group</v>
      </c>
      <c r="E137" s="1" t="str">
        <f>IFERROR(__xludf.DUMMYFUNCTION("""COMPUTED_VALUE"""),"NEGATIVE")</f>
        <v>NEGATIVE</v>
      </c>
      <c r="F137" s="1" t="str">
        <f>IFERROR(__xludf.DUMMYFUNCTION("""COMPUTED_VALUE"""),"Natural gas DA to subsidies aff")</f>
        <v>Natural gas DA to subsidies aff</v>
      </c>
      <c r="G137" s="1" t="str">
        <f>IFERROR(__xludf.DUMMYFUNCTION("""COMPUTED_VALUE"""),"Explore models of three energy futures and concludes using natural gas as a bridge fuel produces net fewest GHG in transition to renewables future")</f>
        <v>Explore models of three energy futures and concludes using natural gas as a bridge fuel produces net fewest GHG in transition to renewables future</v>
      </c>
      <c r="H137" s="1"/>
      <c r="I137" s="1" t="str">
        <f>IFERROR(__xludf.DUMMYFUNCTION("""COMPUTED_VALUE"""),"Jacobsen Oregon")</f>
        <v>Jacobsen Oregon</v>
      </c>
      <c r="J137" s="1" t="str">
        <f>IFERROR(__xludf.DUMMYFUNCTION("""COMPUTED_VALUE"""),"1 (due   )")</f>
        <v>1 (due   )</v>
      </c>
      <c r="K137" s="5" t="str">
        <f>IFERROR(__xludf.DUMMYFUNCTION("""COMPUTED_VALUE"""),"https://drive.google.com/open?id=1tGjSOlGMhM_KCjrhSm6OO6m8BLRkmj_g")</f>
        <v>https://drive.google.com/open?id=1tGjSOlGMhM_KCjrhSm6OO6m8BLRkmj_g</v>
      </c>
      <c r="L137" s="3" t="s">
        <v>2</v>
      </c>
    </row>
    <row r="138">
      <c r="A138" s="4">
        <f>IFERROR(__xludf.DUMMYFUNCTION("""COMPUTED_VALUE"""),45531.91921568287)</f>
        <v>45531.91922</v>
      </c>
      <c r="B138" s="1" t="str">
        <f>IFERROR(__xludf.DUMMYFUNCTION("""COMPUTED_VALUE"""),"uoclark2016@gmail.com")</f>
        <v>uoclark2016@gmail.com</v>
      </c>
      <c r="C138" s="1" t="str">
        <f>IFERROR(__xludf.DUMMYFUNCTION("""COMPUTED_VALUE"""),"Erickson, P &amp; Achakulwist, P. (2021). How subsidies aided the US shale oil and gas boom, SEI Report, June 2021")</f>
        <v>Erickson, P &amp; Achakulwist, P. (2021). How subsidies aided the US shale oil and gas boom, SEI Report, June 2021</v>
      </c>
      <c r="D138" s="1" t="str">
        <f>IFERROR(__xludf.DUMMYFUNCTION("""COMPUTED_VALUE"""),"Stockholm Environment Institute")</f>
        <v>Stockholm Environment Institute</v>
      </c>
      <c r="E138" s="1" t="str">
        <f>IFERROR(__xludf.DUMMYFUNCTION("""COMPUTED_VALUE"""),"NEGATIVE")</f>
        <v>NEGATIVE</v>
      </c>
      <c r="F138" s="1" t="str">
        <f>IFERROR(__xludf.DUMMYFUNCTION("""COMPUTED_VALUE"""),"Natural gas DA to subsidies aff")</f>
        <v>Natural gas DA to subsidies aff</v>
      </c>
      <c r="G138" s="1" t="str">
        <f>IFERROR(__xludf.DUMMYFUNCTION("""COMPUTED_VALUE"""),"Subsidies created the fracking natural gas boom")</f>
        <v>Subsidies created the fracking natural gas boom</v>
      </c>
      <c r="H138" s="1" t="str">
        <f>IFERROR(__xludf.DUMMYFUNCTION("""COMPUTED_VALUE"""),"• This study provides one of the first estimates of the extent to which federal government policy– in the form of three tax incentives – increased the expected value of investments in new, unconventional oil and gas developments in the US over the last tw"&amp;"o decades. Expected value was calculated as the estimated net present value at the time of the investment decision.
• Two tax incentives alone – the expensing of intangible drilling costs and percentage depletion provisions – increased the expected value "&amp;"of new oil and gas projects by billions of dollars in most years, and over $20 billion in some high-price years. This translates to a median increase in expected value of $4 per barrel of oil equivalent or more across projects in such high-price years (20"&amp;"08 and 2010-2014).
• These two subsidies added substantial value to new unconventional oil and gas projects
considered in the Bakken formation in 2005-2006, the Appalachian and Haynesville regions in 2008, the Eagle Ford play in 2009-2010, and the Permian"&amp;" basin in 2011-2015, thereby helping to spur and sustain the US shale boom over the last two decades.")</f>
        <v>• This study provides one of the first estimates of the extent to which federal government policy– in the form of three tax incentives – increased the expected value of investments in new, unconventional oil and gas developments in the US over the last two decades. Expected value was calculated as the estimated net present value at the time of the investment decision.
• Two tax incentives alone – the expensing of intangible drilling costs and percentage depletion provisions – increased the expected value of new oil and gas projects by billions of dollars in most years, and over $20 billion in some high-price years. This translates to a median increase in expected value of $4 per barrel of oil equivalent or more across projects in such high-price years (2008 and 2010-2014).
• These two subsidies added substantial value to new unconventional oil and gas projects
considered in the Bakken formation in 2005-2006, the Appalachian and Haynesville regions in 2008, the Eagle Ford play in 2009-2010, and the Permian basin in 2011-2015, thereby helping to spur and sustain the US shale boom over the last two decades.</v>
      </c>
      <c r="I138" s="1" t="str">
        <f>IFERROR(__xludf.DUMMYFUNCTION("""COMPUTED_VALUE"""),"Jacobsen Oregon")</f>
        <v>Jacobsen Oregon</v>
      </c>
      <c r="J138" s="1" t="str">
        <f>IFERROR(__xludf.DUMMYFUNCTION("""COMPUTED_VALUE"""),"1 (due   )")</f>
        <v>1 (due   )</v>
      </c>
      <c r="K138" s="5" t="str">
        <f>IFERROR(__xludf.DUMMYFUNCTION("""COMPUTED_VALUE"""),"https://drive.google.com/open?id=1h-gdW4z8B2Ae41RBKi6SXJwJK8nYpARF")</f>
        <v>https://drive.google.com/open?id=1h-gdW4z8B2Ae41RBKi6SXJwJK8nYpARF</v>
      </c>
      <c r="L138" s="3" t="s">
        <v>1</v>
      </c>
    </row>
    <row r="139">
      <c r="A139" s="4">
        <f>IFERROR(__xludf.DUMMYFUNCTION("""COMPUTED_VALUE"""),45540.708993078704)</f>
        <v>45540.70899</v>
      </c>
      <c r="B139" s="1" t="str">
        <f>IFERROR(__xludf.DUMMYFUNCTION("""COMPUTED_VALUE"""),"riley.rosalie@gmail.com")</f>
        <v>riley.rosalie@gmail.com</v>
      </c>
      <c r="C139" s="1" t="str">
        <f>IFERROR(__xludf.DUMMYFUNCTION("""COMPUTED_VALUE"""),"FLAGGED PLEASE ACCEPT ARTICLE - Nichols, B et al (2 Nov 2020). ““The foundation of America’s legitimacy in the eyes of its communities”, Center for Public Impact, https://www.centreforpublicimpact.org/insights/foundation-americas-legitimacy-eyes-citizens")</f>
        <v>FLAGGED PLEASE ACCEPT ARTICLE - Nichols, B et al (2 Nov 2020). ““The foundation of America’s legitimacy in the eyes of its communities”, Center for Public Impact, https://www.centreforpublicimpact.org/insights/foundation-americas-legitimacy-eyes-citizens</v>
      </c>
      <c r="D139" s="1" t="str">
        <f>IFERROR(__xludf.DUMMYFUNCTION("""COMPUTED_VALUE"""),"Brian Nichols is the Assistant Secretary of State for Western Hemisphere Affairs for the U.S. Dept of State, John Burgoyne works at the Center for Public Impact, Elysa Neumann is the Director of Communications and Storytelling for North America for the Ce"&amp;"nter for Public Impact, Dan Vogel is a former white house writer and policy advisor to George W. Bush and former organizational strategist at the Center for Public Impact")</f>
        <v>Brian Nichols is the Assistant Secretary of State for Western Hemisphere Affairs for the U.S. Dept of State, John Burgoyne works at the Center for Public Impact, Elysa Neumann is the Director of Communications and Storytelling for North America for the Center for Public Impact, Dan Vogel is a former white house writer and policy advisor to George W. Bush and former organizational strategist at the Center for Public Impact</v>
      </c>
      <c r="E139" s="1" t="str">
        <f>IFERROR(__xludf.DUMMYFUNCTION("""COMPUTED_VALUE"""),"NEGATIVE")</f>
        <v>NEGATIVE</v>
      </c>
      <c r="F139" s="1" t="str">
        <f>IFERROR(__xludf.DUMMYFUNCTION("""COMPUTED_VALUE"""),"Federalism DA/CP")</f>
        <v>Federalism DA/CP</v>
      </c>
      <c r="G139" s="1" t="str">
        <f>IFERROR(__xludf.DUMMYFUNCTION("""COMPUTED_VALUE"""),"Local trust and cooperation is key for federal govt democratic legitimacy, overreaching policy that does not account for local leadership or authority risks democratic collapse / loss of faith in federal govt")</f>
        <v>Local trust and cooperation is key for federal govt democratic legitimacy, overreaching policy that does not account for local leadership or authority risks democratic collapse / loss of faith in federal govt</v>
      </c>
      <c r="H139" s="1"/>
      <c r="I139" s="1" t="str">
        <f>IFERROR(__xludf.DUMMYFUNCTION("""COMPUTED_VALUE"""),"Talamantes WSU")</f>
        <v>Talamantes WSU</v>
      </c>
      <c r="J139" s="1" t="str">
        <f>IFERROR(__xludf.DUMMYFUNCTION("""COMPUTED_VALUE"""),"1 (due   )")</f>
        <v>1 (due   )</v>
      </c>
      <c r="K139" s="5" t="str">
        <f>IFERROR(__xludf.DUMMYFUNCTION("""COMPUTED_VALUE"""),"https://drive.google.com/open?id=18u9tkmYO11Px9EuGF4V8TcDXPqUiOzt5")</f>
        <v>https://drive.google.com/open?id=18u9tkmYO11Px9EuGF4V8TcDXPqUiOzt5</v>
      </c>
      <c r="L139" s="3" t="s">
        <v>2</v>
      </c>
    </row>
    <row r="140">
      <c r="A140" s="4">
        <f>IFERROR(__xludf.DUMMYFUNCTION("""COMPUTED_VALUE"""),45541.37314996528)</f>
        <v>45541.37315</v>
      </c>
      <c r="B140" s="1" t="str">
        <f>IFERROR(__xludf.DUMMYFUNCTION("""COMPUTED_VALUE"""),"cramhelwich@gmail.com")</f>
        <v>cramhelwich@gmail.com</v>
      </c>
      <c r="C140" s="1" t="str">
        <f>IFERROR(__xludf.DUMMYFUNCTION("""COMPUTED_VALUE"""),"Mcgillis, J. (2019). The case against a carbon tax. Institute for Energy Research Policy Paper.")</f>
        <v>Mcgillis, J. (2019). The case against a carbon tax. Institute for Energy Research Policy Paper.</v>
      </c>
      <c r="D140" s="1" t="str">
        <f>IFERROR(__xludf.DUMMYFUNCTION("""COMPUTED_VALUE"""),"Deputy Director of Research, Institute for Energy Research")</f>
        <v>Deputy Director of Research, Institute for Energy Research</v>
      </c>
      <c r="E140" s="1" t="str">
        <f>IFERROR(__xludf.DUMMYFUNCTION("""COMPUTED_VALUE"""),"NEGATIVE")</f>
        <v>NEGATIVE</v>
      </c>
      <c r="F140" s="1" t="str">
        <f>IFERROR(__xludf.DUMMYFUNCTION("""COMPUTED_VALUE"""),"Carbon Tax")</f>
        <v>Carbon Tax</v>
      </c>
      <c r="G140" s="1" t="str">
        <f>IFERROR(__xludf.DUMMYFUNCTION("""COMPUTED_VALUE"""),"Right-leaning criticism of carbon taxes--economic and effectiveness focus")</f>
        <v>Right-leaning criticism of carbon taxes--economic and effectiveness focus</v>
      </c>
      <c r="H140" s="1" t="str">
        <f>IFERROR(__xludf.DUMMYFUNCTION("""COMPUTED_VALUE"""),"n/a")</f>
        <v>n/a</v>
      </c>
      <c r="I140" s="1" t="str">
        <f>IFERROR(__xludf.DUMMYFUNCTION("""COMPUTED_VALUE"""),"Cram Helwich, UMN")</f>
        <v>Cram Helwich, UMN</v>
      </c>
      <c r="J140" s="1" t="str">
        <f>IFERROR(__xludf.DUMMYFUNCTION("""COMPUTED_VALUE"""),"1 (due   )")</f>
        <v>1 (due   )</v>
      </c>
      <c r="K140" s="5" t="str">
        <f>IFERROR(__xludf.DUMMYFUNCTION("""COMPUTED_VALUE"""),"https://drive.google.com/open?id=1DHhsfMIueqHMMedxtLOFTRuBNE56A2rD")</f>
        <v>https://drive.google.com/open?id=1DHhsfMIueqHMMedxtLOFTRuBNE56A2rD</v>
      </c>
      <c r="L140" s="3" t="s">
        <v>1</v>
      </c>
    </row>
    <row r="141">
      <c r="A141" s="4">
        <f>IFERROR(__xludf.DUMMYFUNCTION("""COMPUTED_VALUE"""),45574.68866943287)</f>
        <v>45574.68867</v>
      </c>
      <c r="B141" s="1" t="str">
        <f>IFERROR(__xludf.DUMMYFUNCTION("""COMPUTED_VALUE"""),"ebcasey05@gmail.com")</f>
        <v>ebcasey05@gmail.com</v>
      </c>
      <c r="C141" s="1" t="str">
        <f>IFERROR(__xludf.DUMMYFUNCTION("""COMPUTED_VALUE"""),"Seibert, Megan K., and William E. Rees. 2021. ""Through the Eye of a Needle: An Eco-Heterodox Perspective on the Renewable Energy Transition"" Energies 14, no. 15: 4508. https://doi.org/10.3390/en14154508")</f>
        <v>Seibert, Megan K., and William E. Rees. 2021. "Through the Eye of a Needle: An Eco-Heterodox Perspective on the Renewable Energy Transition" Energies 14, no. 15: 4508. https://doi.org/10.3390/en14154508</v>
      </c>
      <c r="D141" s="1" t="str">
        <f>IFERROR(__xludf.DUMMYFUNCTION("""COMPUTED_VALUE"""),"Megan Seibert - Executive Director for the REAL Green New Deal Project, and William Rees - Professor Emeritus at the University of British Columbia and former director of the School of Community and Regional Planning at UBC.")</f>
        <v>Megan Seibert - Executive Director for the REAL Green New Deal Project, and William Rees - Professor Emeritus at the University of British Columbia and former director of the School of Community and Regional Planning at UBC.</v>
      </c>
      <c r="E141" s="1" t="str">
        <f>IFERROR(__xludf.DUMMYFUNCTION("""COMPUTED_VALUE"""),"MIXED")</f>
        <v>MIXED</v>
      </c>
      <c r="F141" s="1" t="str">
        <f>IFERROR(__xludf.DUMMYFUNCTION("""COMPUTED_VALUE"""),"Develops the idea of ecological overshoot and the hardship of transitioning to renewable sources ")</f>
        <v>Develops the idea of ecological overshoot and the hardship of transitioning to renewable sources </v>
      </c>
      <c r="G141" s="1" t="str">
        <f>IFERROR(__xludf.DUMMYFUNCTION("""COMPUTED_VALUE"""),"The article takes a hard look at the possibility of transitioning to renewable energy sources, while understanding that the impacts of the transition are often swept under the rug and fail to consider ecological overshoot. ")</f>
        <v>The article takes a hard look at the possibility of transitioning to renewable energy sources, while understanding that the impacts of the transition are often swept under the rug and fail to consider ecological overshoot. </v>
      </c>
      <c r="H141" s="1" t="str">
        <f>IFERROR(__xludf.DUMMYFUNCTION("""COMPUTED_VALUE"""),"We add to the emerging body of literature highlighting cracks in the foundation of the mainstream energy transition narrative. We offer a tripartite analysis that re-characterizes the climate crisis within its broader context of ecological overshoot, high"&amp;"lights numerous collectively fatal problems with so-called renewable energy technologies, and suggests alternative solutions that entail a contraction of the human enterprise. This analysis makes clear that the pat notion of “affordable clean energy” view"&amp;"s the world through a narrow keyhole that is blind to innumerable economic, ecological, and social costs. These undesirable “externalities” can no longer be ignored. To achieve sustainability and salvage civilization, society must embark on a planned, coo"&amp;"perative descent from an extreme state of overshoot in just a decade or two. While it might be easier for the proverbial camel to pass through the eye of a needle than for global society to succeed in this endeavor, history is replete with stellar achieve"&amp;"ments that have arisen only from a dogged pursuit of the seemingly impossible.")</f>
        <v>We add to the emerging body of literature highlighting cracks in the foundation of the mainstream energy transition narrative. We offer a tripartite analysis that re-characterizes the climate crisis within its broader context of ecological overshoot, highlights numerous collectively fatal problems with so-called renewable energy technologies, and suggests alternative solutions that entail a contraction of the human enterprise. This analysis makes clear that the pat notion of “affordable clean energy” views the world through a narrow keyhole that is blind to innumerable economic, ecological, and social costs. These undesirable “externalities” can no longer be ignored. To achieve sustainability and salvage civilization, society must embark on a planned, cooperative descent from an extreme state of overshoot in just a decade or two. While it might be easier for the proverbial camel to pass through the eye of a needle than for global society to succeed in this endeavor, history is replete with stellar achievements that have arisen only from a dogged pursuit of the seemingly impossible.</v>
      </c>
      <c r="I141" s="1" t="str">
        <f>IFERROR(__xludf.DUMMYFUNCTION("""COMPUTED_VALUE"""),"Casey - WWU")</f>
        <v>Casey - WWU</v>
      </c>
      <c r="J141" s="1" t="str">
        <f>IFERROR(__xludf.DUMMYFUNCTION("""COMPUTED_VALUE"""),"Wave 2 (due Nov. 8)")</f>
        <v>Wave 2 (due Nov. 8)</v>
      </c>
      <c r="K141" s="5" t="str">
        <f>IFERROR(__xludf.DUMMYFUNCTION("""COMPUTED_VALUE"""),"https://drive.google.com/open?id=1UBqvZpIGVz5RRNbMD5D3hWgIVEiq8irz")</f>
        <v>https://drive.google.com/open?id=1UBqvZpIGVz5RRNbMD5D3hWgIVEiq8irz</v>
      </c>
      <c r="L141" s="3" t="s">
        <v>2</v>
      </c>
    </row>
    <row r="142">
      <c r="A142" s="4">
        <f>IFERROR(__xludf.DUMMYFUNCTION("""COMPUTED_VALUE"""),45594.326113483796)</f>
        <v>45594.32611</v>
      </c>
      <c r="B142" s="1" t="str">
        <f>IFERROR(__xludf.DUMMYFUNCTION("""COMPUTED_VALUE"""),"ethanstevenwall2003@gmail.com")</f>
        <v>ethanstevenwall2003@gmail.com</v>
      </c>
      <c r="C142" s="1" t="str">
        <f>IFERROR(__xludf.DUMMYFUNCTION("""COMPUTED_VALUE"""),"Boehmer, C. R. (2010). ECONOMIC GROWTH AND VIOLENT INTERNATIONAL CONFLICT: 1875–1999. Defence and Peace Economics, 21(3), 249–268. https://doi.org/10.1080/10242690903568801")</f>
        <v>Boehmer, C. R. (2010). ECONOMIC GROWTH AND VIOLENT INTERNATIONAL CONFLICT: 1875–1999. Defence and Peace Economics, 21(3), 249–268. https://doi.org/10.1080/10242690903568801</v>
      </c>
      <c r="D142" s="1" t="str">
        <f>IFERROR(__xludf.DUMMYFUNCTION("""COMPUTED_VALUE"""),"Boehmer has a PHD in political science from Pennsylvania state. He teaches I have taught graduate seminars such as International Politics, International Security, International Organization and Law, and the International Political Economy.")</f>
        <v>Boehmer has a PHD in political science from Pennsylvania state. He teaches I have taught graduate seminars such as International Politics, International Security, International Organization and Law, and the International Political Economy.</v>
      </c>
      <c r="E142" s="1" t="str">
        <f>IFERROR(__xludf.DUMMYFUNCTION("""COMPUTED_VALUE"""),"NEGATIVE")</f>
        <v>NEGATIVE</v>
      </c>
      <c r="F142" s="1" t="str">
        <f>IFERROR(__xludf.DUMMYFUNCTION("""COMPUTED_VALUE"""),"Impact for the degrowth DA")</f>
        <v>Impact for the degrowth DA</v>
      </c>
      <c r="G142" s="1" t="str">
        <f>IFERROR(__xludf.DUMMYFUNCTION("""COMPUTED_VALUE"""),"This paper looks at the relationship between economic growth and conflict by analyzing conflicts of the past ~150 years. He determines that economic downturns do not cause war, but rather growth increases the confidence in risk taking behaviors that start"&amp;" war. ")</f>
        <v>This paper looks at the relationship between economic growth and conflict by analyzing conflicts of the past ~150 years. He determines that economic downturns do not cause war, but rather growth increases the confidence in risk taking behaviors that start war. </v>
      </c>
      <c r="H142" s="1" t="str">
        <f>IFERROR(__xludf.DUMMYFUNCTION("""COMPUTED_VALUE"""),"Are states with growing economies more likely to become involved in violent interstate conflicts? This project examines whether economic growth increases international conflict using a global sample of states from 1875–1999. The theory argues that multi‐y"&amp;"ear economic growth increases the resolve of state leaders to reciprocate and escalate militarized interstate conflicts, thus increasing the occurrence of fatalities or war. The results show that economic growth, but not growth of military expenditures, r"&amp;"aises the risk of violent interstate conflicts. The results do not support the proposition that economic slowdowns result in violent interstate conflicts.")</f>
        <v>Are states with growing economies more likely to become involved in violent interstate conflicts? This project examines whether economic growth increases international conflict using a global sample of states from 1875–1999. The theory argues that multi‐year economic growth increases the resolve of state leaders to reciprocate and escalate militarized interstate conflicts, thus increasing the occurrence of fatalities or war. The results show that economic growth, but not growth of military expenditures, raises the risk of violent interstate conflicts. The results do not support the proposition that economic slowdowns result in violent interstate conflicts.</v>
      </c>
      <c r="I142" s="1" t="str">
        <f>IFERROR(__xludf.DUMMYFUNCTION("""COMPUTED_VALUE"""),"Wall WSU")</f>
        <v>Wall WSU</v>
      </c>
      <c r="J142" s="1" t="str">
        <f>IFERROR(__xludf.DUMMYFUNCTION("""COMPUTED_VALUE"""),"Wave 2 (due Nov. 8)")</f>
        <v>Wave 2 (due Nov. 8)</v>
      </c>
      <c r="K142" s="5" t="str">
        <f>IFERROR(__xludf.DUMMYFUNCTION("""COMPUTED_VALUE"""),"https://drive.google.com/open?id=1UnpFtxvUNQ0yDoTBVm25zb5nkHBU0DC-")</f>
        <v>https://drive.google.com/open?id=1UnpFtxvUNQ0yDoTBVm25zb5nkHBU0DC-</v>
      </c>
      <c r="L142" s="3" t="s">
        <v>2</v>
      </c>
    </row>
    <row r="143">
      <c r="A143" s="4">
        <f>IFERROR(__xludf.DUMMYFUNCTION("""COMPUTED_VALUE"""),45595.66234833334)</f>
        <v>45595.66235</v>
      </c>
      <c r="B143" s="1" t="str">
        <f>IFERROR(__xludf.DUMMYFUNCTION("""COMPUTED_VALUE"""),"akbrow33@asu.edu")</f>
        <v>akbrow33@asu.edu</v>
      </c>
      <c r="C143" s="1" t="str">
        <f>IFERROR(__xludf.DUMMYFUNCTION("""COMPUTED_VALUE"""),"Herring, R., Sandeman, K., &amp; Zarsky, L. (2024). Decarbonization, critical minerals, and tribal sovereignty: Pathways towards conflict transformation. Energy Research &amp; Social Science, 113, 103561. https://doi.org/10.1016/j.erss.2024.103561")</f>
        <v>Herring, R., Sandeman, K., &amp; Zarsky, L. (2024). Decarbonization, critical minerals, and tribal sovereignty: Pathways towards conflict transformation. Energy Research &amp; Social Science, 113, 103561. https://doi.org/10.1016/j.erss.2024.103561</v>
      </c>
      <c r="D143" s="1" t="str">
        <f>IFERROR(__xludf.DUMMYFUNCTION("""COMPUTED_VALUE"""),"Rachel Herring: MA in International Environmental Studies, Pursing PHD, Kathryn Wasserman Davis Conflict Transformation Fellow. Sandeman: Researcher at Middlebury Institute of International Studies. Lyuba Zarsky: Associate Professor of International Envir"&amp;"onmental Policy at the Monterey Institute for International Studies and Senior Research Fellow at the Global Development and Environment Institute, Tufts University.")</f>
        <v>Rachel Herring: MA in International Environmental Studies, Pursing PHD, Kathryn Wasserman Davis Conflict Transformation Fellow. Sandeman: Researcher at Middlebury Institute of International Studies. Lyuba Zarsky: Associate Professor of International Environmental Policy at the Monterey Institute for International Studies and Senior Research Fellow at the Global Development and Environment Institute, Tufts University.</v>
      </c>
      <c r="E143" s="1" t="str">
        <f>IFERROR(__xludf.DUMMYFUNCTION("""COMPUTED_VALUE"""),"MIXED")</f>
        <v>MIXED</v>
      </c>
      <c r="F143" s="1" t="str">
        <f>IFERROR(__xludf.DUMMYFUNCTION("""COMPUTED_VALUE"""),"Kritik of Settler Colonialism")</f>
        <v>Kritik of Settler Colonialism</v>
      </c>
      <c r="G143" s="1" t="str">
        <f>IFERROR(__xludf.DUMMYFUNCTION("""COMPUTED_VALUE"""),"The article provides link evidence about climate action and the IRA for the negative. It also gives general information and possible policy solutions to failings of the status quo, providing affirmative evidence for the permutation.")</f>
        <v>The article provides link evidence about climate action and the IRA for the negative. It also gives general information and possible policy solutions to failings of the status quo, providing affirmative evidence for the permutation.</v>
      </c>
      <c r="H143" s="1" t="str">
        <f>IFERROR(__xludf.DUMMYFUNCTION("""COMPUTED_VALUE"""),"The Inflation Reduction Act, the largest US investment in renewable energy development and climate mitigation, provides incentives for critical minerals to be mined in North America. The rise in domestic mineral procurement is already reigniting historic "&amp;"conflicts between the Federal Government and Indigenous peoples over Tribal sovereignty. This study utilizes a Conflict Transformation framework to investigate the structural roots of mining conflicts and their impacts on Tribal Nations through two parts."&amp;" Part One examines the extent to which Tribes were engaged in the formulation of the Inflation Reduction Act. Part Two presents three case studies of the local impacts of mining conflicts and includes the perspectives of a range of stakeholders involved i"&amp;"n mining conflicts. The study finds that Tribal Nations were not sufficiently included in the formulation of the Inflation Reduction Act and that local conflicts are rooted in patterns of environmental degradation, colonialism, and broken promises to Trib"&amp;"al communities. Recommendations for transforming this conflict include strengthening environmental regulations, improving Tribal consultation, and commencing a long-term Truth and Reconciliation process between the Federal government and Tribal Nations.  "&amp;" ")</f>
        <v>The Inflation Reduction Act, the largest US investment in renewable energy development and climate mitigation, provides incentives for critical minerals to be mined in North America. The rise in domestic mineral procurement is already reigniting historic conflicts between the Federal Government and Indigenous peoples over Tribal sovereignty. This study utilizes a Conflict Transformation framework to investigate the structural roots of mining conflicts and their impacts on Tribal Nations through two parts. Part One examines the extent to which Tribes were engaged in the formulation of the Inflation Reduction Act. Part Two presents three case studies of the local impacts of mining conflicts and includes the perspectives of a range of stakeholders involved in mining conflicts. The study finds that Tribal Nations were not sufficiently included in the formulation of the Inflation Reduction Act and that local conflicts are rooted in patterns of environmental degradation, colonialism, and broken promises to Tribal communities. Recommendations for transforming this conflict include strengthening environmental regulations, improving Tribal consultation, and commencing a long-term Truth and Reconciliation process between the Federal government and Tribal Nations.   </v>
      </c>
      <c r="I143" s="1" t="str">
        <f>IFERROR(__xludf.DUMMYFUNCTION("""COMPUTED_VALUE"""),"Brown ASU")</f>
        <v>Brown ASU</v>
      </c>
      <c r="J143" s="1" t="str">
        <f>IFERROR(__xludf.DUMMYFUNCTION("""COMPUTED_VALUE"""),"Wave 2 (due Nov. 8)")</f>
        <v>Wave 2 (due Nov. 8)</v>
      </c>
      <c r="K143" s="5" t="str">
        <f>IFERROR(__xludf.DUMMYFUNCTION("""COMPUTED_VALUE"""),"https://drive.google.com/open?id=1AUE1IH4_3rE_e4IV7o8kkio7QqDXSavT")</f>
        <v>https://drive.google.com/open?id=1AUE1IH4_3rE_e4IV7o8kkio7QqDXSavT</v>
      </c>
      <c r="L143" s="3" t="s">
        <v>2</v>
      </c>
    </row>
    <row r="144">
      <c r="A144" s="4">
        <f>IFERROR(__xludf.DUMMYFUNCTION("""COMPUTED_VALUE"""),45596.59781612268)</f>
        <v>45596.59782</v>
      </c>
      <c r="B144" s="1" t="str">
        <f>IFERROR(__xludf.DUMMYFUNCTION("""COMPUTED_VALUE"""),"akbrow33@asu.edu")</f>
        <v>akbrow33@asu.edu</v>
      </c>
      <c r="C144" s="1" t="str">
        <f>IFERROR(__xludf.DUMMYFUNCTION("""COMPUTED_VALUE"""),"The Red Deal: Indigenous Action to Save our Earth (The Red Nation) — Common Notions Press. (n.d.). Common Notions Press. https://www.commonnotions.org/the-red-deal")</f>
        <v>The Red Deal: Indigenous Action to Save our Earth (The Red Nation) — Common Notions Press. (n.d.). Common Notions Press. https://www.commonnotions.org/the-red-deal</v>
      </c>
      <c r="D144" s="1" t="str">
        <f>IFERROR(__xludf.DUMMYFUNCTION("""COMPUTED_VALUE"""),"The Red Nation is a coalition of Native and non-Native activists, educators, students, and community organizers advocating for Native liberation. The Red Deal was endorsed by the DSA and featured in mainstream publications.")</f>
        <v>The Red Nation is a coalition of Native and non-Native activists, educators, students, and community organizers advocating for Native liberation. The Red Deal was endorsed by the DSA and featured in mainstream publications.</v>
      </c>
      <c r="E144" s="1" t="str">
        <f>IFERROR(__xludf.DUMMYFUNCTION("""COMPUTED_VALUE"""),"NEGATIVE")</f>
        <v>NEGATIVE</v>
      </c>
      <c r="F144" s="1" t="str">
        <f>IFERROR(__xludf.DUMMYFUNCTION("""COMPUTED_VALUE"""),"Kritik of Settler Colonalism")</f>
        <v>Kritik of Settler Colonalism</v>
      </c>
      <c r="G144" s="1" t="str">
        <f>IFERROR(__xludf.DUMMYFUNCTION("""COMPUTED_VALUE"""),"Provides a specific anti-colonial alternative for climate action. ")</f>
        <v>Provides a specific anti-colonial alternative for climate action. </v>
      </c>
      <c r="H144" s="1" t="str">
        <f>IFERROR(__xludf.DUMMYFUNCTION("""COMPUTED_VALUE"""),"The Red Deal is a call for action beyond the scope of the US colonial state.  It’s a program for Indigenous liberation, life, and land—an affirmation that colonialism and capitalism must be overturned for this planet to be habitable for human and other-th"&amp;"an-human relatives to live dignified lives. The Red Deal is not a response to the Green New Deal, or a “bargain” with the elite and powerful. It’s a deal with the humble people of the earth; a pact that we shall strive for peace and justice and a declarat"&amp;"ion that movements for justice must come from below and to the left. ")</f>
        <v>The Red Deal is a call for action beyond the scope of the US colonial state.  It’s a program for Indigenous liberation, life, and land—an affirmation that colonialism and capitalism must be overturned for this planet to be habitable for human and other-than-human relatives to live dignified lives. The Red Deal is not a response to the Green New Deal, or a “bargain” with the elite and powerful. It’s a deal with the humble people of the earth; a pact that we shall strive for peace and justice and a declaration that movements for justice must come from below and to the left. </v>
      </c>
      <c r="I144" s="1" t="str">
        <f>IFERROR(__xludf.DUMMYFUNCTION("""COMPUTED_VALUE"""),"Brown ASU")</f>
        <v>Brown ASU</v>
      </c>
      <c r="J144" s="1" t="str">
        <f>IFERROR(__xludf.DUMMYFUNCTION("""COMPUTED_VALUE"""),"Wave 2 (due Nov. 8)")</f>
        <v>Wave 2 (due Nov. 8)</v>
      </c>
      <c r="K144" s="5" t="str">
        <f>IFERROR(__xludf.DUMMYFUNCTION("""COMPUTED_VALUE"""),"https://drive.google.com/open?id=1nvfsvMaxmyNlI4SsBkFgjppBK8FKYkcO")</f>
        <v>https://drive.google.com/open?id=1nvfsvMaxmyNlI4SsBkFgjppBK8FKYkcO</v>
      </c>
      <c r="L144" s="3" t="s">
        <v>2</v>
      </c>
    </row>
    <row r="145">
      <c r="A145" s="4">
        <f>IFERROR(__xludf.DUMMYFUNCTION("""COMPUTED_VALUE"""),45596.7495528125)</f>
        <v>45596.74955</v>
      </c>
      <c r="B145" s="1" t="str">
        <f>IFERROR(__xludf.DUMMYFUNCTION("""COMPUTED_VALUE"""),"matthewstroud4@gmail.com")</f>
        <v>matthewstroud4@gmail.com</v>
      </c>
      <c r="C145" s="1" t="str">
        <f>IFERROR(__xludf.DUMMYFUNCTION("""COMPUTED_VALUE"""),"Environmental and Energy Study Institute. (July, 2019). “Fossil Fuel Subsidies: A Closer Look at Tax Breaks and Societal Costs.” EESI, www.eesi.org/papers.")</f>
        <v>Environmental and Energy Study Institute. (July, 2019). “Fossil Fuel Subsidies: A Closer Look at Tax Breaks and Societal Costs.” EESI, www.eesi.org/papers.</v>
      </c>
      <c r="D145" s="1" t="str">
        <f>IFERROR(__xludf.DUMMYFUNCTION("""COMPUTED_VALUE"""),"Environmental and Energy Study Institute is a non-profit organization founded in 1984 by a bipartisan Congressional caucus dedicated to finding innovative environmental and energy solutions.")</f>
        <v>Environmental and Energy Study Institute is a non-profit organization founded in 1984 by a bipartisan Congressional caucus dedicated to finding innovative environmental and energy solutions.</v>
      </c>
      <c r="E145" s="1" t="str">
        <f>IFERROR(__xludf.DUMMYFUNCTION("""COMPUTED_VALUE"""),"AFFIRMATIVE")</f>
        <v>AFFIRMATIVE</v>
      </c>
      <c r="F145" s="1" t="str">
        <f>IFERROR(__xludf.DUMMYFUNCTION("""COMPUTED_VALUE"""),"Remove Fossil Fuel Subsidies")</f>
        <v>Remove Fossil Fuel Subsidies</v>
      </c>
      <c r="G145" s="1" t="str">
        <f>IFERROR(__xludf.DUMMYFUNCTION("""COMPUTED_VALUE"""),"Contains evidence for a different fossil fuel subsidy removal plan that eliminates tax provisions, details US tax provisions that subsidize fossil fuels.")</f>
        <v>Contains evidence for a different fossil fuel subsidy removal plan that eliminates tax provisions, details US tax provisions that subsidize fossil fuels.</v>
      </c>
      <c r="H145" s="1"/>
      <c r="I145" s="1" t="str">
        <f>IFERROR(__xludf.DUMMYFUNCTION("""COMPUTED_VALUE"""),"Stroud CSUN")</f>
        <v>Stroud CSUN</v>
      </c>
      <c r="J145" s="1" t="str">
        <f>IFERROR(__xludf.DUMMYFUNCTION("""COMPUTED_VALUE"""),"Wave 2 (due Nov. 8)")</f>
        <v>Wave 2 (due Nov. 8)</v>
      </c>
      <c r="K145" s="5" t="str">
        <f>IFERROR(__xludf.DUMMYFUNCTION("""COMPUTED_VALUE"""),"https://drive.google.com/open?id=1fwHO8hABYhAMOQBKLqntNsalr0AFBF3e")</f>
        <v>https://drive.google.com/open?id=1fwHO8hABYhAMOQBKLqntNsalr0AFBF3e</v>
      </c>
      <c r="L145" s="3" t="s">
        <v>2</v>
      </c>
    </row>
    <row r="146">
      <c r="A146" s="4">
        <f>IFERROR(__xludf.DUMMYFUNCTION("""COMPUTED_VALUE"""),45596.75215056713)</f>
        <v>45596.75215</v>
      </c>
      <c r="B146" s="1" t="str">
        <f>IFERROR(__xludf.DUMMYFUNCTION("""COMPUTED_VALUE"""),"matthewstroud4@gmail.com")</f>
        <v>matthewstroud4@gmail.com</v>
      </c>
      <c r="C146" s="1" t="str">
        <f>IFERROR(__xludf.DUMMYFUNCTION("""COMPUTED_VALUE"""),"De Bruin, K. &amp; Aykut M.Y. (July 2023). The Impacts of Removing Fossil Fuel Subsidies and Increasing Carbon Taxation. Environmental and Resource Economics, 85: 741-782. https://doi.org/10.1007/s10640-023-00782-6.")</f>
        <v>De Bruin, K. &amp; Aykut M.Y. (July 2023). The Impacts of Removing Fossil Fuel Subsidies and Increasing Carbon Taxation. Environmental and Resource Economics, 85: 741-782. https://doi.org/10.1007/s10640-023-00782-6.</v>
      </c>
      <c r="D146" s="1" t="str">
        <f>IFERROR(__xludf.DUMMYFUNCTION("""COMPUTED_VALUE"""),"De Bruin, Kelly is an Associate Research Professor at the ESRI and programme coordinator for the ESRI’s climate research area; Aykut Mert Yakut is a research officer for ESRI and holds a PhD in Economics from the Middle East Technical University, Turkey.")</f>
        <v>De Bruin, Kelly is an Associate Research Professor at the ESRI and programme coordinator for the ESRI’s climate research area; Aykut Mert Yakut is a research officer for ESRI and holds a PhD in Economics from the Middle East Technical University, Turkey.</v>
      </c>
      <c r="E146" s="1" t="str">
        <f>IFERROR(__xludf.DUMMYFUNCTION("""COMPUTED_VALUE"""),"MIXED")</f>
        <v>MIXED</v>
      </c>
      <c r="F146" s="1" t="str">
        <f>IFERROR(__xludf.DUMMYFUNCTION("""COMPUTED_VALUE"""),"Remove Fossil Fuel Subsidies")</f>
        <v>Remove Fossil Fuel Subsidies</v>
      </c>
      <c r="G146" s="1" t="str">
        <f>IFERROR(__xludf.DUMMYFUNCTION("""COMPUTED_VALUE"""),"contains regressive turn, sectoral impacts, solvency, and additional plan options. ")</f>
        <v>contains regressive turn, sectoral impacts, solvency, and additional plan options. </v>
      </c>
      <c r="H146" s="1" t="str">
        <f>IFERROR(__xludf.DUMMYFUNCTION("""COMPUTED_VALUE"""),"Though the magnitude of fossil fuel subsidies eclipses carbon pricing revenues, policies 
and economic literature focus on carbon taxation. This paper aims to show that removing 
fossil fuel subsidies can reduce emissions as much as carbon taxation withou"&amp;"t making 
producers and consumers worse off. Using a dynamic intertemporal CGE model of Ireland, 
we compare removing eight Irish fossil fuel subsidies and increasing the carbon tax to 
€100 per tonne by 2030. We find that both policies result in similar "&amp;"emission reductions. 
Carbon taxation results in lower negative GDP and investment impacts, whereas subsidy 
removal results in lower negative employment impacts, higher revenues, an improved trade 
balance and lower debt. The impacts across sectors and h"&amp;"ouseholds are distributed more 
evenly under a carbon tax, where subsidy removal results in extreme impacts for specific 
sectors and households. Excluding households’ subsidies from removal can alleviate 
these household distributional impacts at no cost"&amp;" to emission reduction. With revenue 
recycling reducing tax rates, a double-dividend is found at the expense of worsened income 
distribution. The economic benefit of revenue recycling is greater when removing subsidies 
than with carbon taxation and res"&amp;"ults confirm the importance of fossil fuel subsidies in 
climate policy.")</f>
        <v>Though the magnitude of fossil fuel subsidies eclipses carbon pricing revenues, policies 
and economic literature focus on carbon taxation. This paper aims to show that removing 
fossil fuel subsidies can reduce emissions as much as carbon taxation without making 
producers and consumers worse off. Using a dynamic intertemporal CGE model of Ireland, 
we compare removing eight Irish fossil fuel subsidies and increasing the carbon tax to 
€100 per tonne by 2030. We find that both policies result in similar emission reductions. 
Carbon taxation results in lower negative GDP and investment impacts, whereas subsidy 
removal results in lower negative employment impacts, higher revenues, an improved trade 
balance and lower debt. The impacts across sectors and households are distributed more 
evenly under a carbon tax, where subsidy removal results in extreme impacts for specific 
sectors and households. Excluding households’ subsidies from removal can alleviate 
these household distributional impacts at no cost to emission reduction. With revenue 
recycling reducing tax rates, a double-dividend is found at the expense of worsened income 
distribution. The economic benefit of revenue recycling is greater when removing subsidies 
than with carbon taxation and results confirm the importance of fossil fuel subsidies in 
climate policy.</v>
      </c>
      <c r="I146" s="1" t="str">
        <f>IFERROR(__xludf.DUMMYFUNCTION("""COMPUTED_VALUE"""),"Stroud CSUN")</f>
        <v>Stroud CSUN</v>
      </c>
      <c r="J146" s="1" t="str">
        <f>IFERROR(__xludf.DUMMYFUNCTION("""COMPUTED_VALUE"""),"Wave 2 (due Nov. 8)")</f>
        <v>Wave 2 (due Nov. 8)</v>
      </c>
      <c r="K146" s="5" t="str">
        <f>IFERROR(__xludf.DUMMYFUNCTION("""COMPUTED_VALUE"""),"https://drive.google.com/open?id=1R8ZRkW3B2vLvzHFlkP0lSrsI1u9cIHPh")</f>
        <v>https://drive.google.com/open?id=1R8ZRkW3B2vLvzHFlkP0lSrsI1u9cIHPh</v>
      </c>
      <c r="L146" s="3" t="s">
        <v>2</v>
      </c>
    </row>
    <row r="147">
      <c r="A147" s="4">
        <f>IFERROR(__xludf.DUMMYFUNCTION("""COMPUTED_VALUE"""),45596.75583304398)</f>
        <v>45596.75583</v>
      </c>
      <c r="B147" s="1" t="str">
        <f>IFERROR(__xludf.DUMMYFUNCTION("""COMPUTED_VALUE"""),"matthewstroud4@gmail.com")</f>
        <v>matthewstroud4@gmail.com</v>
      </c>
      <c r="C147" s="1" t="str">
        <f>IFERROR(__xludf.DUMMYFUNCTION("""COMPUTED_VALUE"""),"Jeroen van den Bergh, Cees van Beers, and Lewis C. King. (January 19, 2024). Prioritize carbon pricing over fossil-fuel subsidy reform. CellPress, https://doi.org/10.1016/j.isci.2023.108584.")</f>
        <v>Jeroen van den Bergh, Cees van Beers, and Lewis C. King. (January 19, 2024). Prioritize carbon pricing over fossil-fuel subsidy reform. CellPress, https://doi.org/10.1016/j.isci.2023.108584.</v>
      </c>
      <c r="D147" s="1" t="str">
        <f>IFERROR(__xludf.DUMMYFUNCTION("""COMPUTED_VALUE"""),"Jeroen van den Bergh holds a PhD in economics and a Master degree in Econometrics and works at the Institute of Environmental Science and Technology; Cees van Beers is in the Faculty of Technology, Policy and Management, Economics of Technology and Innova"&amp;"tion, Delft University of Technology and holds a PhD in economics; and Lewis C. King works at the Institute of Environmental Science and Technology")</f>
        <v>Jeroen van den Bergh holds a PhD in economics and a Master degree in Econometrics and works at the Institute of Environmental Science and Technology; Cees van Beers is in the Faculty of Technology, Policy and Management, Economics of Technology and Innovation, Delft University of Technology and holds a PhD in economics; and Lewis C. King works at the Institute of Environmental Science and Technology</v>
      </c>
      <c r="E147" s="1" t="str">
        <f>IFERROR(__xludf.DUMMYFUNCTION("""COMPUTED_VALUE"""),"NEGATIVE")</f>
        <v>NEGATIVE</v>
      </c>
      <c r="F147" s="1" t="str">
        <f>IFERROR(__xludf.DUMMYFUNCTION("""COMPUTED_VALUE"""),"Remove Fossil Fuel Subsidies")</f>
        <v>Remove Fossil Fuel Subsidies</v>
      </c>
      <c r="G147" s="1" t="str">
        <f>IFERROR(__xludf.DUMMYFUNCTION("""COMPUTED_VALUE"""),"Fossil Fuel Subsidies no solvency argument for Climate Change advantage.")</f>
        <v>Fossil Fuel Subsidies no solvency argument for Climate Change advantage.</v>
      </c>
      <c r="H147" s="1" t="str">
        <f>IFERROR(__xludf.DUMMYFUNCTION("""COMPUTED_VALUE"""),"While many climate activist groups enthusiastically advocate for the removal of fossil-fuel subsidies, we argue that this overstates both the climate effectiveness and political feasibility of such a strategy. Through synthesizing information from various"&amp;" global studies, we show that subsidies contribute to a relatively small portion of climate change and local externality problems, likely accounting for around 1%. We further argue that reform of fossil-fuel subsidies is hampered by various political and "&amp;"social factors, more so than the diffusion of carbon pricing. Based on these results, we argue that the far greater problem of unpriced externalities warrants a redirection or expansion of the enthusiasm for subsidy reform toward carbon pricing. This make"&amp;"s sense also as subsidy reform and carbon pricing essentially represent two sides of the same coin since both contribute to climate mitigation by raising fossil-fuel prices.")</f>
        <v>While many climate activist groups enthusiastically advocate for the removal of fossil-fuel subsidies, we argue that this overstates both the climate effectiveness and political feasibility of such a strategy. Through synthesizing information from various global studies, we show that subsidies contribute to a relatively small portion of climate change and local externality problems, likely accounting for around 1%. We further argue that reform of fossil-fuel subsidies is hampered by various political and social factors, more so than the diffusion of carbon pricing. Based on these results, we argue that the far greater problem of unpriced externalities warrants a redirection or expansion of the enthusiasm for subsidy reform toward carbon pricing. This makes sense also as subsidy reform and carbon pricing essentially represent two sides of the same coin since both contribute to climate mitigation by raising fossil-fuel prices.</v>
      </c>
      <c r="I147" s="1" t="str">
        <f>IFERROR(__xludf.DUMMYFUNCTION("""COMPUTED_VALUE"""),"Stroud CSUN")</f>
        <v>Stroud CSUN</v>
      </c>
      <c r="J147" s="1" t="str">
        <f>IFERROR(__xludf.DUMMYFUNCTION("""COMPUTED_VALUE"""),"Wave 2 (due Nov. 8)")</f>
        <v>Wave 2 (due Nov. 8)</v>
      </c>
      <c r="K147" s="5" t="str">
        <f>IFERROR(__xludf.DUMMYFUNCTION("""COMPUTED_VALUE"""),"https://drive.google.com/open?id=1nDpJMWBqE9B_SmY0izeSh1kig0txSOFn")</f>
        <v>https://drive.google.com/open?id=1nDpJMWBqE9B_SmY0izeSh1kig0txSOFn</v>
      </c>
      <c r="L147" s="3" t="s">
        <v>2</v>
      </c>
    </row>
    <row r="148">
      <c r="A148" s="4">
        <f>IFERROR(__xludf.DUMMYFUNCTION("""COMPUTED_VALUE"""),45596.775464583334)</f>
        <v>45596.77546</v>
      </c>
      <c r="B148" s="1" t="str">
        <f>IFERROR(__xludf.DUMMYFUNCTION("""COMPUTED_VALUE"""),"matthewstroud4@gmail.com")</f>
        <v>matthewstroud4@gmail.com</v>
      </c>
      <c r="C148" s="1" t="str">
        <f>IFERROR(__xludf.DUMMYFUNCTION("""COMPUTED_VALUE"""),"Hickel, J., G. Kallis, T. Jackson, D.W. O’Neill, J.B. Schor, J.K. Steinberger, P.A. Victor &amp; D. Ürge-Vorsatz. (December 2022). Degrowth can work — here’s how science can help. nature, https://www.nature.com/articles/d41586-022-04412-x.")</f>
        <v>Hickel, J., G. Kallis, T. Jackson, D.W. O’Neill, J.B. Schor, J.K. Steinberger, P.A. Victor &amp; D. Ürge-Vorsatz. (December 2022). Degrowth can work — here’s how science can help. nature, https://www.nature.com/articles/d41586-022-04412-x.</v>
      </c>
      <c r="D148" s="1" t="str">
        <f>IFERROR(__xludf.DUMMYFUNCTION("""COMPUTED_VALUE"""),"Jason Hickel is a professor at the Institute of Environmental Science and Technology; Giorgos Kallis is a professor of ecological economics and political ecology at the Institute of Environmental Science and Technology; Tim Jackson is director of the Cent"&amp;"re for the Understanding of Sustainable Prosperity; Daniel W. O’Neill is an associate professor of ecological economics in the School of Earth and Environment; Juliet B, Schor is an economist and professor in the Department of Sociology; Julia K. Steinber"&amp;"ger is a professor of ecological economics at the Institute of Geography and Sustainability; Peter A. Victor is a professor of environmental studies at York University; and Diana Ürge-Vorsatz is a professor in the Department of Environmental Sciences and "&amp;"Policy.")</f>
        <v>Jason Hickel is a professor at the Institute of Environmental Science and Technology; Giorgos Kallis is a professor of ecological economics and political ecology at the Institute of Environmental Science and Technology; Tim Jackson is director of the Centre for the Understanding of Sustainable Prosperity; Daniel W. O’Neill is an associate professor of ecological economics in the School of Earth and Environment; Juliet B, Schor is an economist and professor in the Department of Sociology; Julia K. Steinberger is a professor of ecological economics at the Institute of Geography and Sustainability; Peter A. Victor is a professor of environmental studies at York University; and Diana Ürge-Vorsatz is a professor in the Department of Environmental Sciences and Policy.</v>
      </c>
      <c r="E148" s="1" t="str">
        <f>IFERROR(__xludf.DUMMYFUNCTION("""COMPUTED_VALUE"""),"AFFIRMATIVE")</f>
        <v>AFFIRMATIVE</v>
      </c>
      <c r="F148" s="1" t="str">
        <f>IFERROR(__xludf.DUMMYFUNCTION("""COMPUTED_VALUE"""),"Degrowth DA")</f>
        <v>Degrowth DA</v>
      </c>
      <c r="G148" s="1" t="str">
        <f>IFERROR(__xludf.DUMMYFUNCTION("""COMPUTED_VALUE"""),"Link Turns to Degrowth for Fossil Fuels Subsidies Removal, Carbon Tax, and Emission Trading Schemes. The authors endorse government action.")</f>
        <v>Link Turns to Degrowth for Fossil Fuels Subsidies Removal, Carbon Tax, and Emission Trading Schemes. The authors endorse government action.</v>
      </c>
      <c r="H148" s="1"/>
      <c r="I148" s="1" t="str">
        <f>IFERROR(__xludf.DUMMYFUNCTION("""COMPUTED_VALUE"""),"Stroud CSUN")</f>
        <v>Stroud CSUN</v>
      </c>
      <c r="J148" s="1" t="str">
        <f>IFERROR(__xludf.DUMMYFUNCTION("""COMPUTED_VALUE"""),"Wave 2 (due Nov. 8)")</f>
        <v>Wave 2 (due Nov. 8)</v>
      </c>
      <c r="K148" s="5" t="str">
        <f>IFERROR(__xludf.DUMMYFUNCTION("""COMPUTED_VALUE"""),"https://drive.google.com/open?id=17SnneMJ-3zXzCL3fOyQqaj17_RHXucR2")</f>
        <v>https://drive.google.com/open?id=17SnneMJ-3zXzCL3fOyQqaj17_RHXucR2</v>
      </c>
      <c r="L148" s="3" t="s">
        <v>2</v>
      </c>
    </row>
    <row r="149">
      <c r="A149" s="4">
        <f>IFERROR(__xludf.DUMMYFUNCTION("""COMPUTED_VALUE"""),45602.690929432865)</f>
        <v>45602.69093</v>
      </c>
      <c r="B149" s="1" t="str">
        <f>IFERROR(__xludf.DUMMYFUNCTION("""COMPUTED_VALUE"""),"ebcasey05@gmail.com")</f>
        <v>ebcasey05@gmail.com</v>
      </c>
      <c r="C149" s="1" t="str">
        <f>IFERROR(__xludf.DUMMYFUNCTION("""COMPUTED_VALUE"""),"Jason Hickel &amp; Giorgos Kallis (2019): Is Green Growth Possible?, New Political Economy, DOI: 10.1080/13563467.2019.1598964")</f>
        <v>Jason Hickel &amp; Giorgos Kallis (2019): Is Green Growth Possible?, New Political Economy, DOI: 10.1080/13563467.2019.1598964</v>
      </c>
      <c r="D149" s="1" t="str">
        <f>IFERROR(__xludf.DUMMYFUNCTION("""COMPUTED_VALUE"""),"Jason Hickel is an anthropologist and professor at the Autonomous University of Barcelona. Giorgos Kallis is an ecological economist from Greece. He is an ICREA Research Professor at ICTA - Universitat Autònoma de Barcelona, where he teaches political eco"&amp;"logy. He is one of the principal advocates of the theory of degrowth.")</f>
        <v>Jason Hickel is an anthropologist and professor at the Autonomous University of Barcelona. Giorgos Kallis is an ecological economist from Greece. He is an ICREA Research Professor at ICTA - Universitat Autònoma de Barcelona, where he teaches political ecology. He is one of the principal advocates of the theory of degrowth.</v>
      </c>
      <c r="E149" s="1" t="str">
        <f>IFERROR(__xludf.DUMMYFUNCTION("""COMPUTED_VALUE"""),"NEGATIVE")</f>
        <v>NEGATIVE</v>
      </c>
      <c r="F149" s="1" t="str">
        <f>IFERROR(__xludf.DUMMYFUNCTION("""COMPUTED_VALUE"""),"develops the carbon bubble disadvantage and neg grounds that lowering FF use does not lead to sufficient decarbonization")</f>
        <v>develops the carbon bubble disadvantage and neg grounds that lowering FF use does not lead to sufficient decarbonization</v>
      </c>
      <c r="G149" s="1" t="str">
        <f>IFERROR(__xludf.DUMMYFUNCTION("""COMPUTED_VALUE"""),"This article develops the idea that green growth is likely not possible given the inability to decouple GDP growth from resource use and carbon emissions. It also claims that even if decoupling was possible, it wouldn't happen fast enough for there to be "&amp;"prevention of global warming over 2 degrees celsius. It gives alternative strategies such as specific degrowth plans and other theoretical solutions. ")</f>
        <v>This article develops the idea that green growth is likely not possible given the inability to decouple GDP growth from resource use and carbon emissions. It also claims that even if decoupling was possible, it wouldn't happen fast enough for there to be prevention of global warming over 2 degrees celsius. It gives alternative strategies such as specific degrowth plans and other theoretical solutions. </v>
      </c>
      <c r="H149" s="1" t="str">
        <f>IFERROR(__xludf.DUMMYFUNCTION("""COMPUTED_VALUE"""),"The notion of green growth has emerged as a dominant policy response to climate change and ecological breakdown. Green growth theory asserts that continued economic expansion is compatible with our planet’s ecology, as technological change and substitutio"&amp;"n will allow us to absolutely decouple GDP growth from resource use and carbon emissions. This claim is now assumed in national and international policy, including in the Sustainable Development Goals. But empirical evidence on resource use and carbon emi"&amp;"ssions does not support green growth theory. Examining relevant studies on historical trends and model-based projections, we find that: (1) there is no empirical evidence that absolute decoupling from resource use can be achieved on a global scale against"&amp;" a background of continued economic growth, and (2) absolute decoupling from carbon emissions is highly unlikely to be achieved at a rate rapid enough to prevent global warming over 1.5°C or 2°C, even under optimistic policy conditions. We conclude that g"&amp;"reen growth is likely to be a misguided objective, and that policymakers need to look toward alternative strategies.")</f>
        <v>The notion of green growth has emerged as a dominant policy response to climate change and ecological breakdown. Green growth theory asserts that continued economic expansion is compatible with our planet’s ecology, as technological change and substitution will allow us to absolutely decouple GDP growth from resource use and carbon emissions. This claim is now assumed in national and international policy, including in the Sustainable Development Goals. But empirical evidence on resource use and carbon emissions does not support green growth theory. Examining relevant studies on historical trends and model-based projections, we find that: (1) there is no empirical evidence that absolute decoupling from resource use can be achieved on a global scale against a background of continued economic growth, and (2) absolute decoupling from carbon emissions is highly unlikely to be achieved at a rate rapid enough to prevent global warming over 1.5°C or 2°C, even under optimistic policy conditions. We conclude that green growth is likely to be a misguided objective, and that policymakers need to look toward alternative strategies.</v>
      </c>
      <c r="I149" s="1" t="str">
        <f>IFERROR(__xludf.DUMMYFUNCTION("""COMPUTED_VALUE"""),"Casey WWU")</f>
        <v>Casey WWU</v>
      </c>
      <c r="J149" s="1" t="str">
        <f>IFERROR(__xludf.DUMMYFUNCTION("""COMPUTED_VALUE"""),"Wave 2 (due Nov. 8)")</f>
        <v>Wave 2 (due Nov. 8)</v>
      </c>
      <c r="K149" s="5" t="str">
        <f>IFERROR(__xludf.DUMMYFUNCTION("""COMPUTED_VALUE"""),"https://drive.google.com/open?id=1ZSIGTTtzb67cWaIc5_ekIf-7v_3uRBj3")</f>
        <v>https://drive.google.com/open?id=1ZSIGTTtzb67cWaIc5_ekIf-7v_3uRBj3</v>
      </c>
      <c r="L149" s="3" t="s">
        <v>1</v>
      </c>
    </row>
    <row r="150">
      <c r="A150" s="4">
        <f>IFERROR(__xludf.DUMMYFUNCTION("""COMPUTED_VALUE"""),45602.77709971065)</f>
        <v>45602.7771</v>
      </c>
      <c r="B150" s="1" t="str">
        <f>IFERROR(__xludf.DUMMYFUNCTION("""COMPUTED_VALUE"""),"ebcasey05@gmail.com")</f>
        <v>ebcasey05@gmail.com</v>
      </c>
      <c r="C150" s="1" t="str">
        <f>IFERROR(__xludf.DUMMYFUNCTION("""COMPUTED_VALUE"""),"Fiscella, Anthony T. “Why degrowth needs Black Ecology.” Degrowth Journal, vol. 2, no. 1, 23 July 2024, https://doi.org/10.36399/degrowth.002.01.08. ")</f>
        <v>Fiscella, Anthony T. “Why degrowth needs Black Ecology.” Degrowth Journal, vol. 2, no. 1, 23 July 2024, https://doi.org/10.36399/degrowth.002.01.08. </v>
      </c>
      <c r="D150" s="1" t="str">
        <f>IFERROR(__xludf.DUMMYFUNCTION("""COMPUTED_VALUE"""),"Anthony T. Fiscella has a Ph.D. (Lund University) in the history of religion. He has written about MOVE, Unitarian Universalists, taqwacore, Lynyrd Skynyrd, decolonizing the concept of “freedom” and spiritual anarchism. In light of currently extreme ecolo"&amp;"gical crises, he has, since 2017, begun to gradually shift emphasis from academia to pragmatic degrowth-oriented work and education. ")</f>
        <v>Anthony T. Fiscella has a Ph.D. (Lund University) in the history of religion. He has written about MOVE, Unitarian Universalists, taqwacore, Lynyrd Skynyrd, decolonizing the concept of “freedom” and spiritual anarchism. In light of currently extreme ecological crises, he has, since 2017, begun to gradually shift emphasis from academia to pragmatic degrowth-oriented work and education. </v>
      </c>
      <c r="E150" s="1" t="str">
        <f>IFERROR(__xludf.DUMMYFUNCTION("""COMPUTED_VALUE"""),"AFFIRMATIVE")</f>
        <v>AFFIRMATIVE</v>
      </c>
      <c r="F150" s="1" t="str">
        <f>IFERROR(__xludf.DUMMYFUNCTION("""COMPUTED_VALUE"""),"Answer and critique to degrowth argument ")</f>
        <v>Answer and critique to degrowth argument </v>
      </c>
      <c r="G150" s="1" t="str">
        <f>IFERROR(__xludf.DUMMYFUNCTION("""COMPUTED_VALUE"""),"This article develops an answer to why current degrowth movements do not address black ecology. It gives suggestions on how to change degrowth movements to better advocate for minority communities. ")</f>
        <v>This article develops an answer to why current degrowth movements do not address black ecology. It gives suggestions on how to change degrowth movements to better advocate for minority communities. </v>
      </c>
      <c r="H150" s="1" t="str">
        <f>IFERROR(__xludf.DUMMYFUNCTION("""COMPUTED_VALUE"""),"Developed in the early 1970s, the concept of “Black ecology” addressed the experienced realities of separate and unequal sets of ecological vantage points and environmental concerns both within the United States and around the world. As a predominantly Eu"&amp;"ropean movement, degrowth has given relatively little attention to questions of racism and racial barriers, not just globally, but also within Europe and the United States. While some attention has gone toward discussing Indigenous models (e.g., Buen Vivi"&amp;"r, Ubuntu), questions of race seem largely relegated within degrowth literature to the coverage of the Environmental Justice movement. In doing so, degrowth scholars and activists have missed a broader view of Black ecology, a more critical analysis of ra"&amp;"cism, and additional opportunities for inspiration and practical alliance. Ecological priorities within degrowth have also largely missed several areas related to Black ecology such as prison abolition, addiction/sobriety, and intersections of sanctity, a"&amp;"nimals, and health. Black ecology (exemplified here with womanism, Rastas, MOVE, and others) may help degrowth address some of its glaring omissions, heal debilitating colorblindness, better navigate complex socio-ecological issues, and build more balance"&amp;"d and effective alliances. Situated on the frontlines of both ecological vulnerability and an alternative lifecentered economics, Black ecology offers a fertile opportunity for degrowth to develop a bridge between unsustainable “imperial modes of living” "&amp;"and the sustainable “original model” of many stateless Indigenous societies. ")</f>
        <v>Developed in the early 1970s, the concept of “Black ecology” addressed the experienced realities of separate and unequal sets of ecological vantage points and environmental concerns both within the United States and around the world. As a predominantly European movement, degrowth has given relatively little attention to questions of racism and racial barriers, not just globally, but also within Europe and the United States. While some attention has gone toward discussing Indigenous models (e.g., Buen Vivir, Ubuntu), questions of race seem largely relegated within degrowth literature to the coverage of the Environmental Justice movement. In doing so, degrowth scholars and activists have missed a broader view of Black ecology, a more critical analysis of racism, and additional opportunities for inspiration and practical alliance. Ecological priorities within degrowth have also largely missed several areas related to Black ecology such as prison abolition, addiction/sobriety, and intersections of sanctity, animals, and health. Black ecology (exemplified here with womanism, Rastas, MOVE, and others) may help degrowth address some of its glaring omissions, heal debilitating colorblindness, better navigate complex socio-ecological issues, and build more balanced and effective alliances. Situated on the frontlines of both ecological vulnerability and an alternative lifecentered economics, Black ecology offers a fertile opportunity for degrowth to develop a bridge between unsustainable “imperial modes of living” and the sustainable “original model” of many stateless Indigenous societies. </v>
      </c>
      <c r="I150" s="1" t="str">
        <f>IFERROR(__xludf.DUMMYFUNCTION("""COMPUTED_VALUE"""),"Casey WWU ")</f>
        <v>Casey WWU </v>
      </c>
      <c r="J150" s="1" t="str">
        <f>IFERROR(__xludf.DUMMYFUNCTION("""COMPUTED_VALUE"""),"Wave 2 (due Nov. 8)")</f>
        <v>Wave 2 (due Nov. 8)</v>
      </c>
      <c r="K150" s="5" t="str">
        <f>IFERROR(__xludf.DUMMYFUNCTION("""COMPUTED_VALUE"""),"https://drive.google.com/open?id=1N8yht7Ys9H8bA-pDsRLQJ4Ho7vpgQiPG")</f>
        <v>https://drive.google.com/open?id=1N8yht7Ys9H8bA-pDsRLQJ4Ho7vpgQiPG</v>
      </c>
      <c r="L150" s="3" t="s">
        <v>2</v>
      </c>
    </row>
    <row r="151">
      <c r="A151" s="4">
        <f>IFERROR(__xludf.DUMMYFUNCTION("""COMPUTED_VALUE"""),45603.38744310185)</f>
        <v>45603.38744</v>
      </c>
      <c r="B151" s="1" t="str">
        <f>IFERROR(__xludf.DUMMYFUNCTION("""COMPUTED_VALUE"""),"uoclark2016@gmail.com")</f>
        <v>uoclark2016@gmail.com</v>
      </c>
      <c r="C151" s="1" t="str">
        <f>IFERROR(__xludf.DUMMYFUNCTION("""COMPUTED_VALUE"""),"Vandeventera, J.S., Cattaneo, C., &amp; Zografos, C. (2019). A degrowth transition: Pathways for the degrowth niche to replace the capitalist-growth regime. Ecological Economics 156 (2019) 272–286")</f>
        <v>Vandeventera, J.S., Cattaneo, C., &amp; Zografos, C. (2019). A degrowth transition: Pathways for the degrowth niche to replace the capitalist-growth regime. Ecological Economics 156 (2019) 272–286</v>
      </c>
      <c r="D151" s="1" t="str">
        <f>IFERROR(__xludf.DUMMYFUNCTION("""COMPUTED_VALUE"""),"Vandeventera, Manchester Metropolitan University Business School Cattaneo, Autonomous University of Barcelona Zografos, Johns Hopkins University - Pompeu Fabra University Public Policy Centre, Barcelona, Spain")</f>
        <v>Vandeventera, Manchester Metropolitan University Business School Cattaneo, Autonomous University of Barcelona Zografos, Johns Hopkins University - Pompeu Fabra University Public Policy Centre, Barcelona, Spain</v>
      </c>
      <c r="E151" s="1" t="str">
        <f>IFERROR(__xludf.DUMMYFUNCTION("""COMPUTED_VALUE"""),"NEGATIVE")</f>
        <v>NEGATIVE</v>
      </c>
      <c r="F151" s="1" t="str">
        <f>IFERROR(__xludf.DUMMYFUNCTION("""COMPUTED_VALUE"""),"Degrowth")</f>
        <v>Degrowth</v>
      </c>
      <c r="G151" s="1" t="str">
        <f>IFERROR(__xludf.DUMMYFUNCTION("""COMPUTED_VALUE"""),"Explores the complex sociological and political and rhetorical processes by which degrowth might replace growthism as a social ideology.")</f>
        <v>Explores the complex sociological and political and rhetorical processes by which degrowth might replace growthism as a social ideology.</v>
      </c>
      <c r="H151" s="1" t="str">
        <f>IFERROR(__xludf.DUMMYFUNCTION("""COMPUTED_VALUE"""),"Facing the intertwined environmental, social and economic crisis requires us to seriously consider alternatives to the current capitalist system, including the emerging concept of degrowth. Existing understandings of degrowth have focused on characterizin"&amp;"g the shape, the key elements and the proposals for a degrowth society. However, its dynamic and evolving nature as an alternative vision of the future, and the dynamics of a transition toward degrowth are inadequately considered. This paper seeks to addr"&amp;"ess this conceptual gap through a reconceptualisation of degrowth as a radical niche innovation to the capitalist-growth regime. By extending the multi-level perspective framework to the capitalist-growth system, we undertake a critical reconsideration of"&amp;" the multi-level perspective, exposing key assumptions of this framework grounded in capitalist economic theory. Through this, we propose a Pluriversal potential pathway for change. To consider this further, a bibliometric analysis is used to measure and "&amp;"visualize research activity in degrowth as a proxy for the processes of development of the degrowth niche. Then, we return to the multi-level perspective to consider two potential pathways for change involving the degrowth niche and the capitalist-growth "&amp;"regime. Finally, we point to areas for further research that build on this new conceptualisation of a degrowth transition. ")</f>
        <v>Facing the intertwined environmental, social and economic crisis requires us to seriously consider alternatives to the current capitalist system, including the emerging concept of degrowth. Existing understandings of degrowth have focused on characterizing the shape, the key elements and the proposals for a degrowth society. However, its dynamic and evolving nature as an alternative vision of the future, and the dynamics of a transition toward degrowth are inadequately considered. This paper seeks to address this conceptual gap through a reconceptualisation of degrowth as a radical niche innovation to the capitalist-growth regime. By extending the multi-level perspective framework to the capitalist-growth system, we undertake a critical reconsideration of the multi-level perspective, exposing key assumptions of this framework grounded in capitalist economic theory. Through this, we propose a Pluriversal potential pathway for change. To consider this further, a bibliometric analysis is used to measure and visualize research activity in degrowth as a proxy for the processes of development of the degrowth niche. Then, we return to the multi-level perspective to consider two potential pathways for change involving the degrowth niche and the capitalist-growth regime. Finally, we point to areas for further research that build on this new conceptualisation of a degrowth transition. </v>
      </c>
      <c r="I151" s="1" t="str">
        <f>IFERROR(__xludf.DUMMYFUNCTION("""COMPUTED_VALUE"""),"Jacobsen Oregon")</f>
        <v>Jacobsen Oregon</v>
      </c>
      <c r="J151" s="1" t="str">
        <f>IFERROR(__xludf.DUMMYFUNCTION("""COMPUTED_VALUE"""),"Wave 2 (due Nov. 8)")</f>
        <v>Wave 2 (due Nov. 8)</v>
      </c>
      <c r="K151" s="5" t="str">
        <f>IFERROR(__xludf.DUMMYFUNCTION("""COMPUTED_VALUE"""),"https://drive.google.com/open?id=1X0PvA1C1H_x6vvPPVCM0i-whhqt3T6xL")</f>
        <v>https://drive.google.com/open?id=1X0PvA1C1H_x6vvPPVCM0i-whhqt3T6xL</v>
      </c>
      <c r="L151" s="3" t="s">
        <v>2</v>
      </c>
    </row>
    <row r="152">
      <c r="A152" s="4">
        <f>IFERROR(__xludf.DUMMYFUNCTION("""COMPUTED_VALUE"""),45603.39129717593)</f>
        <v>45603.3913</v>
      </c>
      <c r="B152" s="1" t="str">
        <f>IFERROR(__xludf.DUMMYFUNCTION("""COMPUTED_VALUE"""),"uoclark2016@gmail.com")</f>
        <v>uoclark2016@gmail.com</v>
      </c>
      <c r="C152" s="1" t="str">
        <f>IFERROR(__xludf.DUMMYFUNCTION("""COMPUTED_VALUE"""),"Jackson, T., Hickel, J. &amp; Kallis, G. (2024). Confronting the dilemma of growth. A response to Warlenius (2023). Ecological Economics, 220(2024), 108089")</f>
        <v>Jackson, T., Hickel, J. &amp; Kallis, G. (2024). Confronting the dilemma of growth. A response to Warlenius (2023). Ecological Economics, 220(2024), 108089</v>
      </c>
      <c r="D152" s="1" t="str">
        <f>IFERROR(__xludf.DUMMYFUNCTION("""COMPUTED_VALUE"""),"Jackson @Centre for the understanding of Sustainable Prosperity, University of Surrey, UK; Hickel &amp; Kallis @Institute of Environmental Science and Technology (ICTA-UAB) and Department of Anthropology, Autonomous University of Barcelona, Spain")</f>
        <v>Jackson @Centre for the understanding of Sustainable Prosperity, University of Surrey, UK; Hickel &amp; Kallis @Institute of Environmental Science and Technology (ICTA-UAB) and Department of Anthropology, Autonomous University of Barcelona, Spain</v>
      </c>
      <c r="E152" s="1" t="str">
        <f>IFERROR(__xludf.DUMMYFUNCTION("""COMPUTED_VALUE"""),"NEGATIVE")</f>
        <v>NEGATIVE</v>
      </c>
      <c r="F152" s="1" t="str">
        <f>IFERROR(__xludf.DUMMYFUNCTION("""COMPUTED_VALUE"""),"Degrowth")</f>
        <v>Degrowth</v>
      </c>
      <c r="G152" s="1" t="str">
        <f>IFERROR(__xludf.DUMMYFUNCTION("""COMPUTED_VALUE"""),"**NOTE: This article was previously submitted and appears on the master sheet for documents but does not appear in the degrowth tab. Hoping to make sure it is included if not already included** Responds to Warlenius (2023) criticism of degrowth analysis o"&amp;"f decoupling and reasserts that degrowth is not economic collapse and that growth cannot produce decoupling.")</f>
        <v>**NOTE: This article was previously submitted and appears on the master sheet for documents but does not appear in the degrowth tab. Hoping to make sure it is included if not already included** Responds to Warlenius (2023) criticism of degrowth analysis of decoupling and reasserts that degrowth is not economic collapse and that growth cannot produce decoupling.</v>
      </c>
      <c r="H152" s="1" t="str">
        <f>IFERROR(__xludf.DUMMYFUNCTION("""COMPUTED_VALUE"""),"This commentary responds to a recent article in this journal (Warlenius, 2023) purporting to identify the ‘limits to degrowth’. We first clarify and set in context the tensions between growth rates and decoupling rates on which the argument is based. In p"&amp;"articular, we show how failing to achieve sufficient decoupling appears to leave society torn between missing our climate targets and crashing our economies. This dilemma highlights the tough choices inherent in the climate transition. But it does not imp"&amp;"ly that critics of growth endorse economic collapse. On the contrary, the intention of postgrowth scholars is clearly to prevent this collapse by offering structural and social reforms, alongside technological options, as a way of meeting climate targets."&amp;" Specifically we dispute the claim that growth is the best way to achieve high rates of decoupling. Counter to this, we present several mechanisms through which a growth-critical approach may be better aligned with the climate transition than an economic "&amp;"ideology founded on ‘growth at all costs’.")</f>
        <v>This commentary responds to a recent article in this journal (Warlenius, 2023) purporting to identify the ‘limits to degrowth’. We first clarify and set in context the tensions between growth rates and decoupling rates on which the argument is based. In particular, we show how failing to achieve sufficient decoupling appears to leave society torn between missing our climate targets and crashing our economies. This dilemma highlights the tough choices inherent in the climate transition. But it does not imply that critics of growth endorse economic collapse. On the contrary, the intention of postgrowth scholars is clearly to prevent this collapse by offering structural and social reforms, alongside technological options, as a way of meeting climate targets. Specifically we dispute the claim that growth is the best way to achieve high rates of decoupling. Counter to this, we present several mechanisms through which a growth-critical approach may be better aligned with the climate transition than an economic ideology founded on ‘growth at all costs’.</v>
      </c>
      <c r="I152" s="1" t="str">
        <f>IFERROR(__xludf.DUMMYFUNCTION("""COMPUTED_VALUE"""),"Jacobsen Oregon")</f>
        <v>Jacobsen Oregon</v>
      </c>
      <c r="J152" s="1" t="str">
        <f>IFERROR(__xludf.DUMMYFUNCTION("""COMPUTED_VALUE"""),"Wave 2 (due Nov. 8)")</f>
        <v>Wave 2 (due Nov. 8)</v>
      </c>
      <c r="K152" s="5" t="str">
        <f>IFERROR(__xludf.DUMMYFUNCTION("""COMPUTED_VALUE"""),"https://drive.google.com/open?id=12lbFXxeOevXeNSK4XGalXuoo3nEAwqhV")</f>
        <v>https://drive.google.com/open?id=12lbFXxeOevXeNSK4XGalXuoo3nEAwqhV</v>
      </c>
      <c r="L152" s="3" t="s">
        <v>2</v>
      </c>
    </row>
    <row r="153">
      <c r="A153" s="4">
        <f>IFERROR(__xludf.DUMMYFUNCTION("""COMPUTED_VALUE"""),45603.404571782405)</f>
        <v>45603.40457</v>
      </c>
      <c r="B153" s="1" t="str">
        <f>IFERROR(__xludf.DUMMYFUNCTION("""COMPUTED_VALUE"""),"uoclark2016@gmail.com")</f>
        <v>uoclark2016@gmail.com</v>
      </c>
      <c r="C153" s="1" t="str">
        <f>IFERROR(__xludf.DUMMYFUNCTION("""COMPUTED_VALUE"""),"Buch-Hansen, H. &amp; Carstensen. M.B (2021). Paradigms and the political economy of ecopolitical projects: Green growth and degrowth compared. Competition &amp; Change, 25(3-4), 308-327")</f>
        <v>Buch-Hansen, H. &amp; Carstensen. M.B (2021). Paradigms and the political economy of ecopolitical projects: Green growth and degrowth compared. Competition &amp; Change, 25(3-4), 308-327</v>
      </c>
      <c r="D153" s="1" t="str">
        <f>IFERROR(__xludf.DUMMYFUNCTION("""COMPUTED_VALUE"""),"Buch-Hansen @Department of Organization, Copenhagen Business School. Carstensen Department of Social Science and Business, Roskilde University ")</f>
        <v>Buch-Hansen @Department of Organization, Copenhagen Business School. Carstensen Department of Social Science and Business, Roskilde University </v>
      </c>
      <c r="E153" s="1" t="str">
        <f>IFERROR(__xludf.DUMMYFUNCTION("""COMPUTED_VALUE"""),"NEGATIVE")</f>
        <v>NEGATIVE</v>
      </c>
      <c r="F153" s="1" t="str">
        <f>IFERROR(__xludf.DUMMYFUNCTION("""COMPUTED_VALUE"""),"Degrowth")</f>
        <v>Degrowth</v>
      </c>
      <c r="G153" s="1" t="str">
        <f>IFERROR(__xludf.DUMMYFUNCTION("""COMPUTED_VALUE"""),"Compares two competing approaches to address the climate crisis and of growth more generally, finding degrowth and green growth fundamentally incompatible (perm answer)")</f>
        <v>Compares two competing approaches to address the climate crisis and of growth more generally, finding degrowth and green growth fundamentally incompatible (perm answer)</v>
      </c>
      <c r="H153" s="1" t="str">
        <f>IFERROR(__xludf.DUMMYFUNCTION("""COMPUTED_VALUE"""),"Competing ecopolitical projects seek to deliver answers to one of the most central questions of our time: how can the escalating climate crisis be halted? The paper asks how we may meaningfully compare ecopolitical projects that originate in fundamentally"&amp;" different conceptions of the type of change necessary to reach a sustainable organization of society? Using Peter Hall’s paradigm approach as a starting point, the paper employs extant political economy scholarship to develop a framework that sets out fo"&amp;"ur key dimensions that work as points of comparison between ecopolitical projects. The framework is applied in a comparison of the competing ecopolitical projects of green growth and degrowth to elucidate the ways in which these projects differ profoundly"&amp;" in terms of the extensiveness of change they envision, the actors they consider pivotal for sustainability transitions, their scientific basis and their distributional consequences ")</f>
        <v>Competing ecopolitical projects seek to deliver answers to one of the most central questions of our time: how can the escalating climate crisis be halted? The paper asks how we may meaningfully compare ecopolitical projects that originate in fundamentally different conceptions of the type of change necessary to reach a sustainable organization of society? Using Peter Hall’s paradigm approach as a starting point, the paper employs extant political economy scholarship to develop a framework that sets out four key dimensions that work as points of comparison between ecopolitical projects. The framework is applied in a comparison of the competing ecopolitical projects of green growth and degrowth to elucidate the ways in which these projects differ profoundly in terms of the extensiveness of change they envision, the actors they consider pivotal for sustainability transitions, their scientific basis and their distributional consequences </v>
      </c>
      <c r="I153" s="1" t="str">
        <f>IFERROR(__xludf.DUMMYFUNCTION("""COMPUTED_VALUE"""),"Jacobsen Oregon")</f>
        <v>Jacobsen Oregon</v>
      </c>
      <c r="J153" s="1" t="str">
        <f>IFERROR(__xludf.DUMMYFUNCTION("""COMPUTED_VALUE"""),"Wave 2 (due Nov. 8)")</f>
        <v>Wave 2 (due Nov. 8)</v>
      </c>
      <c r="K153" s="5" t="str">
        <f>IFERROR(__xludf.DUMMYFUNCTION("""COMPUTED_VALUE"""),"https://drive.google.com/open?id=1dF_Gci8DuQHp20qzrZl9-ET_S3NpU0wD")</f>
        <v>https://drive.google.com/open?id=1dF_Gci8DuQHp20qzrZl9-ET_S3NpU0wD</v>
      </c>
      <c r="L153" s="3" t="s">
        <v>2</v>
      </c>
    </row>
    <row r="154">
      <c r="A154" s="4">
        <f>IFERROR(__xludf.DUMMYFUNCTION("""COMPUTED_VALUE"""),45603.41060707176)</f>
        <v>45603.41061</v>
      </c>
      <c r="B154" s="1" t="str">
        <f>IFERROR(__xludf.DUMMYFUNCTION("""COMPUTED_VALUE"""),"uoclark2016@gmail.com")</f>
        <v>uoclark2016@gmail.com</v>
      </c>
      <c r="C154" s="1" t="str">
        <f>IFERROR(__xludf.DUMMYFUNCTION("""COMPUTED_VALUE"""),"Foster, J.B. (2023). Planned degrowth_Ecosocialism and sustainable human development. Monthly Review, July-August, 1-29")</f>
        <v>Foster, J.B. (2023). Planned degrowth_Ecosocialism and sustainable human development. Monthly Review, July-August, 1-29</v>
      </c>
      <c r="D154" s="1" t="str">
        <f>IFERROR(__xludf.DUMMYFUNCTION("""COMPUTED_VALUE"""),"Professor of Sociology, University of Oregon and Editor of Monthly Review")</f>
        <v>Professor of Sociology, University of Oregon and Editor of Monthly Review</v>
      </c>
      <c r="E154" s="1" t="str">
        <f>IFERROR(__xludf.DUMMYFUNCTION("""COMPUTED_VALUE"""),"MIXED")</f>
        <v>MIXED</v>
      </c>
      <c r="F154" s="1" t="str">
        <f>IFERROR(__xludf.DUMMYFUNCTION("""COMPUTED_VALUE"""),"Degrowth")</f>
        <v>Degrowth</v>
      </c>
      <c r="G154" s="1" t="str">
        <f>IFERROR(__xludf.DUMMYFUNCTION("""COMPUTED_VALUE"""),"Charts Foster's migration from opponent to advocate of degrowth, or a variant of degrowth, as a necessary alternative to capitalism and ecocide.")</f>
        <v>Charts Foster's migration from opponent to advocate of degrowth, or a variant of degrowth, as a necessary alternative to capitalism and ecocide.</v>
      </c>
      <c r="H154" s="1" t="str">
        <f>IFERROR(__xludf.DUMMYFUNCTION("""COMPUTED_VALUE"""),"N/A")</f>
        <v>N/A</v>
      </c>
      <c r="I154" s="1" t="str">
        <f>IFERROR(__xludf.DUMMYFUNCTION("""COMPUTED_VALUE"""),"Jacobsen Oregon")</f>
        <v>Jacobsen Oregon</v>
      </c>
      <c r="J154" s="1" t="str">
        <f>IFERROR(__xludf.DUMMYFUNCTION("""COMPUTED_VALUE"""),"Wave 2 (due Nov. 8)")</f>
        <v>Wave 2 (due Nov. 8)</v>
      </c>
      <c r="K154" s="5" t="str">
        <f>IFERROR(__xludf.DUMMYFUNCTION("""COMPUTED_VALUE"""),"https://drive.google.com/open?id=1vc6-DsJ-oOeYCtSavaE2VYnFPy7mneTf")</f>
        <v>https://drive.google.com/open?id=1vc6-DsJ-oOeYCtSavaE2VYnFPy7mneTf</v>
      </c>
      <c r="L154" s="3" t="s">
        <v>2</v>
      </c>
    </row>
    <row r="155">
      <c r="A155" s="4">
        <f>IFERROR(__xludf.DUMMYFUNCTION("""COMPUTED_VALUE"""),45603.49248813657)</f>
        <v>45603.49249</v>
      </c>
      <c r="B155" s="1" t="str">
        <f>IFERROR(__xludf.DUMMYFUNCTION("""COMPUTED_VALUE"""),"baxter5326@gmail.com")</f>
        <v>baxter5326@gmail.com</v>
      </c>
      <c r="C155" s="1" t="str">
        <f>IFERROR(__xludf.DUMMYFUNCTION("""COMPUTED_VALUE"""),"Krane, J., &amp; Idel, R. (2021). More transitions, less risk: How renewable energy reduces risks from mining, trade and political dependence. Energy Research &amp; Social Science, 82, 102311")</f>
        <v>Krane, J., &amp; Idel, R. (2021). More transitions, less risk: How renewable energy reduces risks from mining, trade and political dependence. Energy Research &amp; Social Science, 82, 102311</v>
      </c>
      <c r="D155" s="1" t="str">
        <f>IFERROR(__xludf.DUMMYFUNCTION("""COMPUTED_VALUE"""),"Baker Institute Center for Energy Studies, Houston, Texas, USA")</f>
        <v>Baker Institute Center for Energy Studies, Houston, Texas, USA</v>
      </c>
      <c r="E155" s="1" t="str">
        <f>IFERROR(__xludf.DUMMYFUNCTION("""COMPUTED_VALUE"""),"AFFIRMATIVE")</f>
        <v>AFFIRMATIVE</v>
      </c>
      <c r="F155" s="1" t="str">
        <f>IFERROR(__xludf.DUMMYFUNCTION("""COMPUTED_VALUE"""),"affirmative answer to a dirty green mining disadvantage")</f>
        <v>affirmative answer to a dirty green mining disadvantage</v>
      </c>
      <c r="G155" s="1" t="str">
        <f>IFERROR(__xludf.DUMMYFUNCTION("""COMPUTED_VALUE"""),"This article argues that a green energy transition will drastically reduce mining and material requirements. It also makes an argument for the relative energy efficiency of mining for renewables versus mining for fossil fuels.")</f>
        <v>This article argues that a green energy transition will drastically reduce mining and material requirements. It also makes an argument for the relative energy efficiency of mining for renewables versus mining for fossil fuels.</v>
      </c>
      <c r="H155" s="1" t="str">
        <f>IFERROR(__xludf.DUMMYFUNCTION("""COMPUTED_VALUE"""),"The transition from fossil fuels to renewable energy systems involves enormous decreases in materials, mining, and political risk. Since renewable systems need no fuel, they depend on trade only for the acquisition of materials and components during const"&amp;"ruction. Once the system is operating, no trade is required to sustain it. Therefore renewable energy production is not exposed to the political risks that plague fossil fuel production and shipments, such as interdiction, embargo, civil war, labor action"&amp;"s, and other disruptions. Despite such benefits, an emerging perspective in the US public discourse makes the opposite case, arguing that a buildout of renewable electricity would exacerbate supply risks, mining intensity, and import dependence. This pape"&amp;"r’s findings challenge such assertions. We demonstrate that installing just 1 GW of wind capacity to replace coal on a grid like that in Texas reduces total mining by 25 million tonnes over 20 years. Even if the world increased 12-fold the annual global p"&amp;"roduction of all rare earths, lithium, cobalt, and even copper, the metals produced would comprise just 3% of 2020 world coal production. Over two decades, five times more power would be produced by mining an equivalent amount for wind rather than coal. S"&amp;"ince transition materials requirements are so comparatively small, reduced international trade volumes mean a large measure of political risk falls away. Current practices for securing energy systems that require constant fuel deliveries thus offer little"&amp;" relevance for renewables.")</f>
        <v>The transition from fossil fuels to renewable energy systems involves enormous decreases in materials, mining, and political risk. Since renewable systems need no fuel, they depend on trade only for the acquisition of materials and components during construction. Once the system is operating, no trade is required to sustain it. Therefore renewable energy production is not exposed to the political risks that plague fossil fuel production and shipments, such as interdiction, embargo, civil war, labor actions, and other disruptions. Despite such benefits, an emerging perspective in the US public discourse makes the opposite case, arguing that a buildout of renewable electricity would exacerbate supply risks, mining intensity, and import dependence. This paper’s findings challenge such assertions. We demonstrate that installing just 1 GW of wind capacity to replace coal on a grid like that in Texas reduces total mining by 25 million tonnes over 20 years. Even if the world increased 12-fold the annual global production of all rare earths, lithium, cobalt, and even copper, the metals produced would comprise just 3% of 2020 world coal production. Over two decades, five times more power would be produced by mining an equivalent amount for wind rather than coal. Since transition materials requirements are so comparatively small, reduced international trade volumes mean a large measure of political risk falls away. Current practices for securing energy systems that require constant fuel deliveries thus offer little relevance for renewables.</v>
      </c>
      <c r="I155" s="1" t="str">
        <f>IFERROR(__xludf.DUMMYFUNCTION("""COMPUTED_VALUE"""),"Roe Gonzaga")</f>
        <v>Roe Gonzaga</v>
      </c>
      <c r="J155" s="1" t="str">
        <f>IFERROR(__xludf.DUMMYFUNCTION("""COMPUTED_VALUE"""),"Wave 2 (due Nov. 8)")</f>
        <v>Wave 2 (due Nov. 8)</v>
      </c>
      <c r="K155" s="5" t="str">
        <f>IFERROR(__xludf.DUMMYFUNCTION("""COMPUTED_VALUE"""),"https://drive.google.com/open?id=1XM2lvDCyhE42o5o5m8WGMDnioMjh_iFH")</f>
        <v>https://drive.google.com/open?id=1XM2lvDCyhE42o5o5m8WGMDnioMjh_iFH</v>
      </c>
      <c r="L155" s="3" t="s">
        <v>1</v>
      </c>
    </row>
    <row r="156">
      <c r="A156" s="4">
        <f>IFERROR(__xludf.DUMMYFUNCTION("""COMPUTED_VALUE"""),45603.49699)</f>
        <v>45603.49699</v>
      </c>
      <c r="B156" s="1" t="str">
        <f>IFERROR(__xludf.DUMMYFUNCTION("""COMPUTED_VALUE"""),"baxter5326@gmail.com")</f>
        <v>baxter5326@gmail.com</v>
      </c>
      <c r="C156" s="1" t="str">
        <f>IFERROR(__xludf.DUMMYFUNCTION("""COMPUTED_VALUE"""),"Dunlap, A., &amp; Marin, D. (2022). Comparing coal and ‘transition materials’? Overlooking complexity, flattening reality and ignoring capitalism. Energy Research &amp; Social Science, 89, 102531 ")</f>
        <v>Dunlap, A., &amp; Marin, D. (2022). Comparing coal and ‘transition materials’? Overlooking complexity, flattening reality and ignoring capitalism. Energy Research &amp; Social Science, 89, 102531 </v>
      </c>
      <c r="D156" s="1" t="str">
        <f>IFERROR(__xludf.DUMMYFUNCTION("""COMPUTED_VALUE"""),"Centre for Development and the Environment, University of Oslo, Norway &amp; European Environmental Bureau (EEB), Belgium ")</f>
        <v>Centre for Development and the Environment, University of Oslo, Norway &amp; European Environmental Bureau (EEB), Belgium </v>
      </c>
      <c r="E156" s="1" t="str">
        <f>IFERROR(__xludf.DUMMYFUNCTION("""COMPUTED_VALUE"""),"NEGATIVE")</f>
        <v>NEGATIVE</v>
      </c>
      <c r="F156" s="1" t="str">
        <f>IFERROR(__xludf.DUMMYFUNCTION("""COMPUTED_VALUE"""),"supports the dirty green mining disadvantage")</f>
        <v>supports the dirty green mining disadvantage</v>
      </c>
      <c r="G156" s="1" t="str">
        <f>IFERROR(__xludf.DUMMYFUNCTION("""COMPUTED_VALUE"""),"This article makes specific, anti-capitalist responses to arguments that point out the quantitative decrease in mining and materials that would result from a green transition. It also makes an argument about the presumed fossil fuel versus green energy di"&amp;"chotomy.")</f>
        <v>This article makes specific, anti-capitalist responses to arguments that point out the quantitative decrease in mining and materials that would result from a green transition. It also makes an argument about the presumed fossil fuel versus green energy dichotomy.</v>
      </c>
      <c r="H156" s="1" t="str">
        <f>IFERROR(__xludf.DUMMYFUNCTION("""COMPUTED_VALUE"""),"This article highlights the misleading calculations, reductions and overstatements of the recent Perspective article: ‘More transitions, less risk: How renewable energy reduces risks form mining, trade and political dependence’ by Jim Kane and Robert Idel"&amp;". While in theory we might agree with the general claim of Jim Kane and Robert Idel ‘that a transition from coal to wind involves an enormous decrease in mined materials’, we demonstrate that this claim is misleading. This article stresses five essential "&amp;"points to correct their analysis and
calculations in order to offer approximations that are more accurate and, thus, revealing the extent of complications and problems facing real energy transition. This entails challenging the fossil fuel versus renewabl"&amp;"e energy dichotomy; critically interrogating data and research scope; acknowledging the realities of capitalism; paying closer attention to policy objectives; and recognizing the underexplored reality of green extractivism. This is done not only to encour"&amp;"age environmental and energy policy taking ecological crises seriously, but also—more immediately—to prevent the misuse and decontextualization of Jim Kane and Robert Idel's claims to advance the agendas of socially and ecologically destructive companies."&amp;" ")</f>
        <v>This article highlights the misleading calculations, reductions and overstatements of the recent Perspective article: ‘More transitions, less risk: How renewable energy reduces risks form mining, trade and political dependence’ by Jim Kane and Robert Idel. While in theory we might agree with the general claim of Jim Kane and Robert Idel ‘that a transition from coal to wind involves an enormous decrease in mined materials’, we demonstrate that this claim is misleading. This article stresses five essential points to correct their analysis and
calculations in order to offer approximations that are more accurate and, thus, revealing the extent of complications and problems facing real energy transition. This entails challenging the fossil fuel versus renewable energy dichotomy; critically interrogating data and research scope; acknowledging the realities of capitalism; paying closer attention to policy objectives; and recognizing the underexplored reality of green extractivism. This is done not only to encourage environmental and energy policy taking ecological crises seriously, but also—more immediately—to prevent the misuse and decontextualization of Jim Kane and Robert Idel's claims to advance the agendas of socially and ecologically destructive companies. </v>
      </c>
      <c r="I156" s="1" t="str">
        <f>IFERROR(__xludf.DUMMYFUNCTION("""COMPUTED_VALUE"""),"Roe Gonzaga")</f>
        <v>Roe Gonzaga</v>
      </c>
      <c r="J156" s="1" t="str">
        <f>IFERROR(__xludf.DUMMYFUNCTION("""COMPUTED_VALUE"""),"Wave 2 (due Nov. 8)")</f>
        <v>Wave 2 (due Nov. 8)</v>
      </c>
      <c r="K156" s="5" t="str">
        <f>IFERROR(__xludf.DUMMYFUNCTION("""COMPUTED_VALUE"""),"https://drive.google.com/open?id=1HR5dWFPfQ_dQxup7VUXDOeHu0nJtllZm")</f>
        <v>https://drive.google.com/open?id=1HR5dWFPfQ_dQxup7VUXDOeHu0nJtllZm</v>
      </c>
      <c r="L156" s="3" t="s">
        <v>2</v>
      </c>
    </row>
    <row r="157">
      <c r="A157" s="4">
        <f>IFERROR(__xludf.DUMMYFUNCTION("""COMPUTED_VALUE"""),45603.50915384259)</f>
        <v>45603.50915</v>
      </c>
      <c r="B157" s="1" t="str">
        <f>IFERROR(__xludf.DUMMYFUNCTION("""COMPUTED_VALUE"""),"ewantm930@gmail.com")</f>
        <v>ewantm930@gmail.com</v>
      </c>
      <c r="C157" s="1" t="str">
        <f>IFERROR(__xludf.DUMMYFUNCTION("""COMPUTED_VALUE"""),"M.J. Kotchen, The producer benefits of implicit fossil fuel subsidies in the United States, Proc. Natl. Acad. Sci. U.S.A. 118 (14) e2011969118,")</f>
        <v>M.J. Kotchen, The producer benefits of implicit fossil fuel subsidies in the United States, Proc. Natl. Acad. Sci. U.S.A. 118 (14) e2011969118,</v>
      </c>
      <c r="D157" s="1" t="str">
        <f>IFERROR(__xludf.DUMMYFUNCTION("""COMPUTED_VALUE"""),"Matthew Kotchen is the Langdon K. Storm professor of economics in the Yale School of the Environment, with secondary appointments in the Yale School of Management and the Department of Economics. He is a research associate at the National Bureau of Econom"&amp;"ic Research (NBER) and a fellow of the CESifo Network.")</f>
        <v>Matthew Kotchen is the Langdon K. Storm professor of economics in the Yale School of the Environment, with secondary appointments in the Yale School of Management and the Department of Economics. He is a research associate at the National Bureau of Economic Research (NBER) and a fellow of the CESifo Network.</v>
      </c>
      <c r="E157" s="1" t="str">
        <f>IFERROR(__xludf.DUMMYFUNCTION("""COMPUTED_VALUE"""),"MIXED")</f>
        <v>MIXED</v>
      </c>
      <c r="F157" s="1" t="str">
        <f>IFERROR(__xludf.DUMMYFUNCTION("""COMPUTED_VALUE"""),"Remove Fossil Fuel Subsidies")</f>
        <v>Remove Fossil Fuel Subsidies</v>
      </c>
      <c r="G157" s="1" t="str">
        <f>IFERROR(__xludf.DUMMYFUNCTION("""COMPUTED_VALUE"""),"An analysis of what fossil fuel subsidies are out there, how much they are worth, and what the producer incidence of those subsidies. Serves to clarify exactly what the impacts of FFS are.")</f>
        <v>An analysis of what fossil fuel subsidies are out there, how much they are worth, and what the producer incidence of those subsidies. Serves to clarify exactly what the impacts of FFS are.</v>
      </c>
      <c r="H157" s="1" t="str">
        <f>IFERROR(__xludf.DUMMYFUNCTION("""COMPUTED_VALUE"""),"This paper estimates the financial benefits accruing to fossil fuelproducers (i.e., the producer incidence) that arise because of implicitfossil fuel subsidies in the United States. The analysis takes accountof coal, natural gas, gasoline, and diesel, alo"&amp;"ng with the implicitsubsidies due to externalized environmental damages, public healtheffects, and transportation-related costs. The direct benefit to fossilfuel producers across all four fuels is estimated at $62 billion per year,a sum calculated due to "&amp;"the higher price that suppliers receive be-cause of inefficient pricing compared to the counterfactual scenariowhere environmental and public health externalities are internalized.A significant portion of these benefits accrue to relatively few compa-nies"&amp;", and specific estimates are provided for companies with the largestproduction. The financial benefit because of unpriced costs borne bysociety is comparable to 18% of net income from continuing domesticoperations for the median natural gas and oil produc"&amp;"er in 2017–2018,and it exceeds net income for the majority of coal producers. The resultsclarify what the domestic fossil fuel industry has at stake financiallywhen it comes to policies that seek to address climate change, adversehealth effects from local"&amp;" pollution, and inefficient transportation.")</f>
        <v>This paper estimates the financial benefits accruing to fossil fuelproducers (i.e., the producer incidence) that arise because of implicitfossil fuel subsidies in the United States. The analysis takes accountof coal, natural gas, gasoline, and diesel, along with the implicitsubsidies due to externalized environmental damages, public healtheffects, and transportation-related costs. The direct benefit to fossilfuel producers across all four fuels is estimated at $62 billion per year,a sum calculated due to the higher price that suppliers receive be-cause of inefficient pricing compared to the counterfactual scenariowhere environmental and public health externalities are internalized.A significant portion of these benefits accrue to relatively few compa-nies, and specific estimates are provided for companies with the largestproduction. The financial benefit because of unpriced costs borne bysociety is comparable to 18% of net income from continuing domesticoperations for the median natural gas and oil producer in 2017–2018,and it exceeds net income for the majority of coal producers. The resultsclarify what the domestic fossil fuel industry has at stake financiallywhen it comes to policies that seek to address climate change, adversehealth effects from local pollution, and inefficient transportation.</v>
      </c>
      <c r="I157" s="1" t="str">
        <f>IFERROR(__xludf.DUMMYFUNCTION("""COMPUTED_VALUE"""),"Matthew J. Kotchen Yale")</f>
        <v>Matthew J. Kotchen Yale</v>
      </c>
      <c r="J157" s="1" t="str">
        <f>IFERROR(__xludf.DUMMYFUNCTION("""COMPUTED_VALUE"""),"Wave 2 (due Nov. 8)")</f>
        <v>Wave 2 (due Nov. 8)</v>
      </c>
      <c r="K157" s="5" t="str">
        <f>IFERROR(__xludf.DUMMYFUNCTION("""COMPUTED_VALUE"""),"https://drive.google.com/open?id=1ZXIZD9K8mWaDc3ZsZqIC09iqmcql2GRP")</f>
        <v>https://drive.google.com/open?id=1ZXIZD9K8mWaDc3ZsZqIC09iqmcql2GRP</v>
      </c>
      <c r="L157" s="3" t="s">
        <v>2</v>
      </c>
    </row>
    <row r="158">
      <c r="A158" s="4">
        <f>IFERROR(__xludf.DUMMYFUNCTION("""COMPUTED_VALUE"""),45603.59552055555)</f>
        <v>45603.59552</v>
      </c>
      <c r="B158" s="1" t="str">
        <f>IFERROR(__xludf.DUMMYFUNCTION("""COMPUTED_VALUE"""),"afgraha1@asu.edu")</f>
        <v>afgraha1@asu.edu</v>
      </c>
      <c r="C158" s="1" t="str">
        <f>IFERROR(__xludf.DUMMYFUNCTION("""COMPUTED_VALUE"""),"Y. Wang, C. Chen, J. Wang and R. Baldick, ""Research on Resilience of Power Systems Under Natural Disasters—A Review,"" in IEEE Transactions on Power Systems, vol. 31, no. 2, pp. 1604-1613, March 2016, doi: 10.1109/TPWRS.2015.2429656. keywords: {Predictiv"&amp;"e models;Data models;Power system restoration;Power system faults;Resilience;Hurricanes;Blackout restoration;natural disasters;power systems operation},")</f>
        <v>Y. Wang, C. Chen, J. Wang and R. Baldick, "Research on Resilience of Power Systems Under Natural Disasters—A Review," in IEEE Transactions on Power Systems, vol. 31, no. 2, pp. 1604-1613, March 2016, doi: 10.1109/TPWRS.2015.2429656. keywords: {Predictive models;Data models;Power system restoration;Power system faults;Resilience;Hurricanes;Blackout restoration;natural disasters;power systems operation},</v>
      </c>
      <c r="D158" s="1" t="str">
        <f>IFERROR(__xludf.DUMMYFUNCTION("""COMPUTED_VALUE"""),"Yezhou Wang; Chen Chen; Jianhui Wang; Ross Baldick")</f>
        <v>Yezhou Wang; Chen Chen; Jianhui Wang; Ross Baldick</v>
      </c>
      <c r="E158" s="1" t="str">
        <f>IFERROR(__xludf.DUMMYFUNCTION("""COMPUTED_VALUE"""),"AFFIRMATIVE")</f>
        <v>AFFIRMATIVE</v>
      </c>
      <c r="F158" s="1" t="str">
        <f>IFERROR(__xludf.DUMMYFUNCTION("""COMPUTED_VALUE"""),"National Electric Transmission Plan")</f>
        <v>National Electric Transmission Plan</v>
      </c>
      <c r="G158" s="1" t="str">
        <f>IFERROR(__xludf.DUMMYFUNCTION("""COMPUTED_VALUE"""),"Natural disasters can cause large blackouts. Research into natural disaster impacts on electric power systems is emerging to understand the causes of the blackouts, explore ways to prepare and harden the grid, and increase the resilience of the power grid"&amp;" under such events. At the same time, new technologies such as smart grid, micro grid, and wide area monitoring applications could increase situational awareness as well as enable faster restoration of the system. This paper aims to consolidate and review"&amp;" the progress of the research field towards methods and tools of forecasting natural disaster related power system disturbances, hardening and pre-storm operations, and restoration models. Challenges and future research opportunities are also presented in"&amp;" the paper.")</f>
        <v>Natural disasters can cause large blackouts. Research into natural disaster impacts on electric power systems is emerging to understand the causes of the blackouts, explore ways to prepare and harden the grid, and increase the resilience of the power grid under such events. At the same time, new technologies such as smart grid, micro grid, and wide area monitoring applications could increase situational awareness as well as enable faster restoration of the system. This paper aims to consolidate and review the progress of the research field towards methods and tools of forecasting natural disaster related power system disturbances, hardening and pre-storm operations, and restoration models. Challenges and future research opportunities are also presented in the paper.</v>
      </c>
      <c r="H158" s="1"/>
      <c r="I158" s="1" t="str">
        <f>IFERROR(__xludf.DUMMYFUNCTION("""COMPUTED_VALUE"""),"Graham ASU")</f>
        <v>Graham ASU</v>
      </c>
      <c r="J158" s="1" t="str">
        <f>IFERROR(__xludf.DUMMYFUNCTION("""COMPUTED_VALUE"""),"Wave 2 (due Nov. 8)")</f>
        <v>Wave 2 (due Nov. 8)</v>
      </c>
      <c r="K158" s="5" t="str">
        <f>IFERROR(__xludf.DUMMYFUNCTION("""COMPUTED_VALUE"""),"https://drive.google.com/open?id=1vSwfyabCDRxlKlA1z8dYKtCCb8wmText")</f>
        <v>https://drive.google.com/open?id=1vSwfyabCDRxlKlA1z8dYKtCCb8wmText</v>
      </c>
      <c r="L158" s="3" t="s">
        <v>2</v>
      </c>
    </row>
    <row r="159">
      <c r="A159" s="4">
        <f>IFERROR(__xludf.DUMMYFUNCTION("""COMPUTED_VALUE"""),45603.59801104167)</f>
        <v>45603.59801</v>
      </c>
      <c r="B159" s="1" t="str">
        <f>IFERROR(__xludf.DUMMYFUNCTION("""COMPUTED_VALUE"""),"afgraha1@asu.edu")</f>
        <v>afgraha1@asu.edu</v>
      </c>
      <c r="C159" s="1" t="str">
        <f>IFERROR(__xludf.DUMMYFUNCTION("""COMPUTED_VALUE"""),"A. B. Birchfield, T. Xu, K. M. Gegner, K. S. Shetye and T. J. Overbye, ""Grid Structural Characteristics as Validation Criteria for Synthetic Networks,"" in IEEE Transactions on Power Systems, vol. 32, no. 4, pp. 3258-3265, July 2017, doi: 10.1109/TPWRS.2"&amp;"016.2616385. keywords: {Substations;Generators;Sociology;Statistics;Power generation;Topology;Clustering;delaunay triangulation;power grid topology;synthetic networks},")</f>
        <v>A. B. Birchfield, T. Xu, K. M. Gegner, K. S. Shetye and T. J. Overbye, "Grid Structural Characteristics as Validation Criteria for Synthetic Networks," in IEEE Transactions on Power Systems, vol. 32, no. 4, pp. 3258-3265, July 2017, doi: 10.1109/TPWRS.2016.2616385. keywords: {Substations;Generators;Sociology;Statistics;Power generation;Topology;Clustering;delaunay triangulation;power grid topology;synthetic networks},</v>
      </c>
      <c r="D159" s="1" t="str">
        <f>IFERROR(__xludf.DUMMYFUNCTION("""COMPUTED_VALUE"""),"Adam B. Birchfield; Ti Xu; Kathleen M. Gegner; Komal S. Shetye; Thomas J. Overbye")</f>
        <v>Adam B. Birchfield; Ti Xu; Kathleen M. Gegner; Komal S. Shetye; Thomas J. Overbye</v>
      </c>
      <c r="E159" s="1" t="str">
        <f>IFERROR(__xludf.DUMMYFUNCTION("""COMPUTED_VALUE"""),"MIXED")</f>
        <v>MIXED</v>
      </c>
      <c r="F159" s="1" t="str">
        <f>IFERROR(__xludf.DUMMYFUNCTION("""COMPUTED_VALUE"""),"National Electric Transmission Plan")</f>
        <v>National Electric Transmission Plan</v>
      </c>
      <c r="G159" s="1" t="str">
        <f>IFERROR(__xludf.DUMMYFUNCTION("""COMPUTED_VALUE"""),"describes several structural statistics to be used in characterizing real power system networks, including connectivity, Delaunay triangulation overlap, dc power flow analysis, and line intersection rate. ")</f>
        <v>describes several structural statistics to be used in characterizing real power system networks, including connectivity, Delaunay triangulation overlap, dc power flow analysis, and line intersection rate. </v>
      </c>
      <c r="H159" s="1" t="str">
        <f>IFERROR(__xludf.DUMMYFUNCTION("""COMPUTED_VALUE"""),"This paper presents a methodology and set of validation criteria for the systematic creation of synthetic power system test cases. The synthesized grids do not correspond to any real grid and are, thus, free from confidentiality requirements. The cases ar"&amp;"e built to match statistical characteristics found in actual power grids. First, substations are geographically placed on a selected territory, synthesized from public information about the underlying population and generation plants. A clustering techniq"&amp;"ue is employed, which ensures the synthetic substations meet realistic proportions of load and generation, among other constraints. Next, a network of transmission lines is added. This paper describes several structural statistics to be used in characteri"&amp;"zing real power system networks, including connectivity, Delaunay triangulation overlap, dc power flow analysis, and line intersection rate. The paper presents a methodology to generate synthetic line topologies with realistic parameters that satisfy thes"&amp;"e criteria. Then, the test cases can be augmented with additional complexities to build large, realistic cases. The methodology is illustrated in building a 2000 bus public test case that meets the criteria specified.")</f>
        <v>This paper presents a methodology and set of validation criteria for the systematic creation of synthetic power system test cases. The synthesized grids do not correspond to any real grid and are, thus, free from confidentiality requirements. The cases are built to match statistical characteristics found in actual power grids. First, substations are geographically placed on a selected territory, synthesized from public information about the underlying population and generation plants. A clustering technique is employed, which ensures the synthetic substations meet realistic proportions of load and generation, among other constraints. Next, a network of transmission lines is added. This paper describes several structural statistics to be used in characterizing real power system networks, including connectivity, Delaunay triangulation overlap, dc power flow analysis, and line intersection rate. The paper presents a methodology to generate synthetic line topologies with realistic parameters that satisfy these criteria. Then, the test cases can be augmented with additional complexities to build large, realistic cases. The methodology is illustrated in building a 2000 bus public test case that meets the criteria specified.</v>
      </c>
      <c r="I159" s="1" t="str">
        <f>IFERROR(__xludf.DUMMYFUNCTION("""COMPUTED_VALUE"""),"Graham")</f>
        <v>Graham</v>
      </c>
      <c r="J159" s="1" t="str">
        <f>IFERROR(__xludf.DUMMYFUNCTION("""COMPUTED_VALUE"""),"Wave 2 (due Nov. 8)")</f>
        <v>Wave 2 (due Nov. 8)</v>
      </c>
      <c r="K159" s="5" t="str">
        <f>IFERROR(__xludf.DUMMYFUNCTION("""COMPUTED_VALUE"""),"https://drive.google.com/open?id=178N63HHDDlMgnPv7_zSeFFxPJVnTa1Eo")</f>
        <v>https://drive.google.com/open?id=178N63HHDDlMgnPv7_zSeFFxPJVnTa1Eo</v>
      </c>
      <c r="L159" s="3" t="s">
        <v>2</v>
      </c>
    </row>
    <row r="160">
      <c r="A160" s="4">
        <f>IFERROR(__xludf.DUMMYFUNCTION("""COMPUTED_VALUE"""),45603.60006851851)</f>
        <v>45603.60007</v>
      </c>
      <c r="B160" s="1" t="str">
        <f>IFERROR(__xludf.DUMMYFUNCTION("""COMPUTED_VALUE"""),"afgraha1@asu.edu")</f>
        <v>afgraha1@asu.edu</v>
      </c>
      <c r="C160" s="1" t="str">
        <f>IFERROR(__xludf.DUMMYFUNCTION("""COMPUTED_VALUE"""),"MacDonald, A., Clack, C., Alexander, A. et al. Future cost-competitive electricity systems and their impact on US CO2 emissions. Nature Clim Change 6, 526–531 (2016). https://doi.org/10.1038/nclimate2921")</f>
        <v>MacDonald, A., Clack, C., Alexander, A. et al. Future cost-competitive electricity systems and their impact on US CO2 emissions. Nature Clim Change 6, 526–531 (2016). https://doi.org/10.1038/nclimate2921</v>
      </c>
      <c r="D160" s="1" t="str">
        <f>IFERROR(__xludf.DUMMYFUNCTION("""COMPUTED_VALUE"""),"lexander E. MacDonald, Christopher T. M. Clack, Anneliese Alexander, Adam Dunbar, James Wilczak &amp; Yuanfu Xie")</f>
        <v>lexander E. MacDonald, Christopher T. M. Clack, Anneliese Alexander, Adam Dunbar, James Wilczak &amp; Yuanfu Xie</v>
      </c>
      <c r="E160" s="1" t="str">
        <f>IFERROR(__xludf.DUMMYFUNCTION("""COMPUTED_VALUE"""),"MIXED")</f>
        <v>MIXED</v>
      </c>
      <c r="F160" s="1" t="str">
        <f>IFERROR(__xludf.DUMMYFUNCTION("""COMPUTED_VALUE"""),"National Electric Transmission Plan")</f>
        <v>National Electric Transmission Plan</v>
      </c>
      <c r="G160" s="1" t="str">
        <f>IFERROR(__xludf.DUMMYFUNCTION("""COMPUTED_VALUE"""),"Cost comparison ")</f>
        <v>Cost comparison </v>
      </c>
      <c r="H160" s="1" t="str">
        <f>IFERROR(__xludf.DUMMYFUNCTION("""COMPUTED_VALUE"""),"Carbon dioxide emissions from electricity generation are a major cause of anthropogenic climate change. The deployment of wind and solar power reduces these emissions, but is subject to the variability of the weather. In the present study, we calculate th"&amp;"e cost-optimized configuration of variable electrical power generators using weather data with high spatial (13-km) and temporal (60-min) resolution over the contiguous US. Our results show that when using future anticipated costs for wind and solar, carb"&amp;"on dioxide emissions from the US electricity sector can be reduced by up to 80% relative to 1990 levels, without an increase in the levelized cost of electricity. The reductions are possible with current technologies and without electrical storage. Wind a"&amp;"nd solar power increase their share of electricity production as the system grows to encompass large-scale weather patterns. This reduction in carbon emissions is achieved by moving away from a regionally divided electricity sector to a national system en"&amp;"abled by high-voltage direct-current transmission.")</f>
        <v>Carbon dioxide emissions from electricity generation are a major cause of anthropogenic climate change. The deployment of wind and solar power reduces these emissions, but is subject to the variability of the weather. In the present study, we calculate the cost-optimized configuration of variable electrical power generators using weather data with high spatial (13-km) and temporal (60-min) resolution over the contiguous US. Our results show that when using future anticipated costs for wind and solar, carbon dioxide emissions from the US electricity sector can be reduced by up to 80% relative to 1990 levels, without an increase in the levelized cost of electricity. The reductions are possible with current technologies and without electrical storage. Wind and solar power increase their share of electricity production as the system grows to encompass large-scale weather patterns. This reduction in carbon emissions is achieved by moving away from a regionally divided electricity sector to a national system enabled by high-voltage direct-current transmission.</v>
      </c>
      <c r="I160" s="1" t="str">
        <f>IFERROR(__xludf.DUMMYFUNCTION("""COMPUTED_VALUE"""),"Graham")</f>
        <v>Graham</v>
      </c>
      <c r="J160" s="1" t="str">
        <f>IFERROR(__xludf.DUMMYFUNCTION("""COMPUTED_VALUE"""),"Wave 2 (due Nov. 8)")</f>
        <v>Wave 2 (due Nov. 8)</v>
      </c>
      <c r="K160" s="5" t="str">
        <f>IFERROR(__xludf.DUMMYFUNCTION("""COMPUTED_VALUE"""),"https://drive.google.com/open?id=1ji0D6n59AAm-isgmFuQ6eEZA7Rf8e2QA")</f>
        <v>https://drive.google.com/open?id=1ji0D6n59AAm-isgmFuQ6eEZA7Rf8e2QA</v>
      </c>
      <c r="L160" s="3" t="s">
        <v>2</v>
      </c>
    </row>
    <row r="161">
      <c r="A161" s="4">
        <f>IFERROR(__xludf.DUMMYFUNCTION("""COMPUTED_VALUE"""),45603.6020747338)</f>
        <v>45603.60207</v>
      </c>
      <c r="B161" s="1" t="str">
        <f>IFERROR(__xludf.DUMMYFUNCTION("""COMPUTED_VALUE"""),"afgraha1@asu.edu")</f>
        <v>afgraha1@asu.edu</v>
      </c>
      <c r="C161" s="1" t="str">
        <f>IFERROR(__xludf.DUMMYFUNCTION("""COMPUTED_VALUE"""),"S. Clegg and P. Mancarella, ""Integrated Modeling and Assessment of the Operational Impact of Power-to-Gas (P2G) on Electrical and Gas Transmission Networks,"" in IEEE Transactions on Sustainable Energy, vol. 6, no. 4, pp. 1234-1244, Oct. 2015, doi: 10.11"&amp;"09/TSTE.2015.2424885. keywords: {Power system modeling;Analytical models;Transient analysis;Hydrogen;Natural gas;Renewable energy sources;Load flow;Hydrogen production;integrated energy systems;multienergy systems;natural gas networks;optimal power flow ("&amp;"OPF);power-to-gas (P2G);Hydrogen production;integrated energy systems;multienergy systems;natural gas networks;optimal power flow (OPF);power-to-gas (P2G)},")</f>
        <v>S. Clegg and P. Mancarella, "Integrated Modeling and Assessment of the Operational Impact of Power-to-Gas (P2G) on Electrical and Gas Transmission Networks," in IEEE Transactions on Sustainable Energy, vol. 6, no. 4, pp. 1234-1244, Oct. 2015, doi: 10.1109/TSTE.2015.2424885. keywords: {Power system modeling;Analytical models;Transient analysis;Hydrogen;Natural gas;Renewable energy sources;Load flow;Hydrogen production;integrated energy systems;multienergy systems;natural gas networks;optimal power flow (OPF);power-to-gas (P2G);Hydrogen production;integrated energy systems;multienergy systems;natural gas networks;optimal power flow (OPF);power-to-gas (P2G)},</v>
      </c>
      <c r="D161" s="1" t="str">
        <f>IFERROR(__xludf.DUMMYFUNCTION("""COMPUTED_VALUE"""),"Stephen Clegg; Pierluigi Mancarella")</f>
        <v>Stephen Clegg; Pierluigi Mancarella</v>
      </c>
      <c r="E161" s="1" t="str">
        <f>IFERROR(__xludf.DUMMYFUNCTION("""COMPUTED_VALUE"""),"NEGATIVE")</f>
        <v>NEGATIVE</v>
      </c>
      <c r="F161" s="1" t="str">
        <f>IFERROR(__xludf.DUMMYFUNCTION("""COMPUTED_VALUE"""),"National Electric Transmission Plan")</f>
        <v>National Electric Transmission Plan</v>
      </c>
      <c r="G161" s="1" t="str">
        <f>IFERROR(__xludf.DUMMYFUNCTION("""COMPUTED_VALUE"""),"Effect on FF markets ")</f>
        <v>Effect on FF markets </v>
      </c>
      <c r="H161" s="1" t="str">
        <f>IFERROR(__xludf.DUMMYFUNCTION("""COMPUTED_VALUE"""),"Power-to-gas (P2G) is the process whereby electricity is used to produce hydrogen or synthetic natural gas. The electricity for the P2G process could, for instance, come from renewable energy which would otherwise be curtailed due to system or line constr"&amp;"aints. The existing natural gas network could then potentially be used as a means to store, transport, and reutilize this energy, thus preventing its waste. While there are several ongoing discussions on P2G in different countries, these are generally not"&amp;" backed by quantitative studies on its potential network implications and benefits. To bridge this gap, this paper introduces an original methodology to analyze different P2G processes and assess their operational impacts on both electricity and gas trans"&amp;"mission networks. This is carried out by using a novel integrated model specifically developed for the simulation of operational interdependences between the two networks considering P2G. To demonstrate the several innovative features of the proposed mode"&amp;"l, technical, environmental, and economic operational aspects of P2G and its potential benefits are analyzed on the case of the Great Britains system, also providing insights into relief of gas and electrical transmission network constraints.")</f>
        <v>Power-to-gas (P2G) is the process whereby electricity is used to produce hydrogen or synthetic natural gas. The electricity for the P2G process could, for instance, come from renewable energy which would otherwise be curtailed due to system or line constraints. The existing natural gas network could then potentially be used as a means to store, transport, and reutilize this energy, thus preventing its waste. While there are several ongoing discussions on P2G in different countries, these are generally not backed by quantitative studies on its potential network implications and benefits. To bridge this gap, this paper introduces an original methodology to analyze different P2G processes and assess their operational impacts on both electricity and gas transmission networks. This is carried out by using a novel integrated model specifically developed for the simulation of operational interdependences between the two networks considering P2G. To demonstrate the several innovative features of the proposed model, technical, environmental, and economic operational aspects of P2G and its potential benefits are analyzed on the case of the Great Britains system, also providing insights into relief of gas and electrical transmission network constraints.</v>
      </c>
      <c r="I161" s="1" t="str">
        <f>IFERROR(__xludf.DUMMYFUNCTION("""COMPUTED_VALUE"""),"Graham ASU")</f>
        <v>Graham ASU</v>
      </c>
      <c r="J161" s="1" t="str">
        <f>IFERROR(__xludf.DUMMYFUNCTION("""COMPUTED_VALUE"""),"Wave 2 (due Nov. 8)")</f>
        <v>Wave 2 (due Nov. 8)</v>
      </c>
      <c r="K161" s="5" t="str">
        <f>IFERROR(__xludf.DUMMYFUNCTION("""COMPUTED_VALUE"""),"https://drive.google.com/open?id=1DEfKHUcA6tsjToxUrI7lVVnHXfDkkxrk")</f>
        <v>https://drive.google.com/open?id=1DEfKHUcA6tsjToxUrI7lVVnHXfDkkxrk</v>
      </c>
      <c r="L161" s="3" t="s">
        <v>2</v>
      </c>
    </row>
    <row r="162">
      <c r="A162" s="4">
        <f>IFERROR(__xludf.DUMMYFUNCTION("""COMPUTED_VALUE"""),45603.60750265046)</f>
        <v>45603.6075</v>
      </c>
      <c r="B162" s="1" t="str">
        <f>IFERROR(__xludf.DUMMYFUNCTION("""COMPUTED_VALUE"""),"afgraha1@asu.edu")</f>
        <v>afgraha1@asu.edu</v>
      </c>
      <c r="C162" s="1" t="str">
        <f>IFERROR(__xludf.DUMMYFUNCTION("""COMPUTED_VALUE"""),"Liu Zhan, Yang Bo, Tian Lin, Zhang Fan, Development and outlook of advanced nuclear energy technology, Energy Strategy Reviews, Volume 34, 2021, 100630, ISSN 2211-467X, https://doi.org/10.1016/j.esr.2021.100630. (https://www.sciencedirect.com/science/arti"&amp;"cle/pii/S2211467X2100016X)")</f>
        <v>Liu Zhan, Yang Bo, Tian Lin, Zhang Fan, Development and outlook of advanced nuclear energy technology, Energy Strategy Reviews, Volume 34, 2021, 100630, ISSN 2211-467X, https://doi.org/10.1016/j.esr.2021.100630. (https://www.sciencedirect.com/science/article/pii/S2211467X2100016X)</v>
      </c>
      <c r="D162" s="1" t="str">
        <f>IFERROR(__xludf.DUMMYFUNCTION("""COMPUTED_VALUE"""),"Liu Zhan, Yang Bo, Tian Lin, Zhang Fan Shanghai Nuclear Engineering Research &amp; Design Institute, Shanghai, 200233, China")</f>
        <v>Liu Zhan, Yang Bo, Tian Lin, Zhang Fan Shanghai Nuclear Engineering Research &amp; Design Institute, Shanghai, 200233, China</v>
      </c>
      <c r="E162" s="1" t="str">
        <f>IFERROR(__xludf.DUMMYFUNCTION("""COMPUTED_VALUE"""),"MIXED")</f>
        <v>MIXED</v>
      </c>
      <c r="F162" s="1" t="str">
        <f>IFERROR(__xludf.DUMMYFUNCTION("""COMPUTED_VALUE"""),"Nuclear energy")</f>
        <v>Nuclear energy</v>
      </c>
      <c r="G162" s="1" t="str">
        <f>IFERROR(__xludf.DUMMYFUNCTION("""COMPUTED_VALUE"""),"Where Nuclear energy is at right now ")</f>
        <v>Where Nuclear energy is at right now </v>
      </c>
      <c r="H162" s="1" t="str">
        <f>IFERROR(__xludf.DUMMYFUNCTION("""COMPUTED_VALUE"""),"As the only clean, low-carbon, safe and efficient basic load energy, nuclear energy has been increasingly developed in major nuclear power nations around world. At the same time, nuclear energy also plays a positive role in responding to global climate ch"&amp;"ange. After the Fukushima nuclear accident, the international community has put forward new and higher requirements for the safety of nuclear energy. The world's nuclear energy community is exploring and developing advanced nuclear energy technology with "&amp;"a view to solving the economic, safety and environmental issues in the development of nuclear energy. This article summarizes the development trends of advanced nuclear energy technology in international organizations and major nuclear power countries, it"&amp;" introduces the development of advanced nuclear energy technology in China, and it also analyzes the future development trend, the crucial development directions and common technologies of advanced nuclear energy.")</f>
        <v>As the only clean, low-carbon, safe and efficient basic load energy, nuclear energy has been increasingly developed in major nuclear power nations around world. At the same time, nuclear energy also plays a positive role in responding to global climate change. After the Fukushima nuclear accident, the international community has put forward new and higher requirements for the safety of nuclear energy. The world's nuclear energy community is exploring and developing advanced nuclear energy technology with a view to solving the economic, safety and environmental issues in the development of nuclear energy. This article summarizes the development trends of advanced nuclear energy technology in international organizations and major nuclear power countries, it introduces the development of advanced nuclear energy technology in China, and it also analyzes the future development trend, the crucial development directions and common technologies of advanced nuclear energy.</v>
      </c>
      <c r="I162" s="1" t="str">
        <f>IFERROR(__xludf.DUMMYFUNCTION("""COMPUTED_VALUE"""),"Graham ASU")</f>
        <v>Graham ASU</v>
      </c>
      <c r="J162" s="1" t="str">
        <f>IFERROR(__xludf.DUMMYFUNCTION("""COMPUTED_VALUE"""),"Wave 2 (due Nov. 8)")</f>
        <v>Wave 2 (due Nov. 8)</v>
      </c>
      <c r="K162" s="5" t="str">
        <f>IFERROR(__xludf.DUMMYFUNCTION("""COMPUTED_VALUE"""),"https://drive.google.com/open?id=1iO86KRHTJQwJkkKLTM1L5kQWZ_giRxcc")</f>
        <v>https://drive.google.com/open?id=1iO86KRHTJQwJkkKLTM1L5kQWZ_giRxcc</v>
      </c>
      <c r="L162" s="3" t="s">
        <v>2</v>
      </c>
    </row>
    <row r="163">
      <c r="A163" s="4">
        <f>IFERROR(__xludf.DUMMYFUNCTION("""COMPUTED_VALUE"""),45603.61146572916)</f>
        <v>45603.61147</v>
      </c>
      <c r="B163" s="1" t="str">
        <f>IFERROR(__xludf.DUMMYFUNCTION("""COMPUTED_VALUE"""),"afgraha1@asu.edu")</f>
        <v>afgraha1@asu.edu</v>
      </c>
      <c r="C163" s="1" t="str">
        <f>IFERROR(__xludf.DUMMYFUNCTION("""COMPUTED_VALUE"""),"Jurakulov, S. (2023). NUCLEAR ENERGY. Educational Research in Universal Sciences, 2(11 SPECIAL), 514–518. Retrieved from http://erus.uz/index.php/er/article/view/4025")</f>
        <v>Jurakulov, S. (2023). NUCLEAR ENERGY. Educational Research in Universal Sciences, 2(11 SPECIAL), 514–518. Retrieved from http://erus.uz/index.php/er/article/view/4025</v>
      </c>
      <c r="D163" s="1" t="str">
        <f>IFERROR(__xludf.DUMMYFUNCTION("""COMPUTED_VALUE"""),"S.Z. Jurakulov Asian International University")</f>
        <v>S.Z. Jurakulov Asian International University</v>
      </c>
      <c r="E163" s="1" t="str">
        <f>IFERROR(__xludf.DUMMYFUNCTION("""COMPUTED_VALUE"""),"MIXED")</f>
        <v>MIXED</v>
      </c>
      <c r="F163" s="1" t="str">
        <f>IFERROR(__xludf.DUMMYFUNCTION("""COMPUTED_VALUE"""),"Nuclear Energy")</f>
        <v>Nuclear Energy</v>
      </c>
      <c r="G163" s="1" t="str">
        <f>IFERROR(__xludf.DUMMYFUNCTION("""COMPUTED_VALUE"""),"An good overview on nuclear energy ")</f>
        <v>An good overview on nuclear energy </v>
      </c>
      <c r="H163" s="1" t="str">
        <f>IFERROR(__xludf.DUMMYFUNCTION("""COMPUTED_VALUE"""),"Nuclear power is the most important sub-sector of the world energy industry, which began to make a significant contribution to the world’s electricity production several decades ago. Today, the price of electricity produced by nuclear power plants allows "&amp;"us to talk about serious competition with other types of power plants. A clear advantage of nuclear power plants is the absence of aerosol and greenhouse gas emissions into the atmosphere")</f>
        <v>Nuclear power is the most important sub-sector of the world energy industry, which began to make a significant contribution to the world’s electricity production several decades ago. Today, the price of electricity produced by nuclear power plants allows us to talk about serious competition with other types of power plants. A clear advantage of nuclear power plants is the absence of aerosol and greenhouse gas emissions into the atmosphere</v>
      </c>
      <c r="I163" s="1" t="str">
        <f>IFERROR(__xludf.DUMMYFUNCTION("""COMPUTED_VALUE"""),"Graham ASU")</f>
        <v>Graham ASU</v>
      </c>
      <c r="J163" s="1" t="str">
        <f>IFERROR(__xludf.DUMMYFUNCTION("""COMPUTED_VALUE"""),"Wave 2 (due Nov. 8)")</f>
        <v>Wave 2 (due Nov. 8)</v>
      </c>
      <c r="K163" s="5" t="str">
        <f>IFERROR(__xludf.DUMMYFUNCTION("""COMPUTED_VALUE"""),"https://drive.google.com/open?id=1OrDGkPkQXyqQ-180usjvzkgu7kOXAfku")</f>
        <v>https://drive.google.com/open?id=1OrDGkPkQXyqQ-180usjvzkgu7kOXAfku</v>
      </c>
      <c r="L163" s="3" t="s">
        <v>2</v>
      </c>
    </row>
    <row r="164">
      <c r="A164" s="4">
        <f>IFERROR(__xludf.DUMMYFUNCTION("""COMPUTED_VALUE"""),45603.615061226854)</f>
        <v>45603.61506</v>
      </c>
      <c r="B164" s="1" t="str">
        <f>IFERROR(__xludf.DUMMYFUNCTION("""COMPUTED_VALUE"""),"afgraha1@asu.edu")</f>
        <v>afgraha1@asu.edu</v>
      </c>
      <c r="C164" s="1" t="str">
        <f>IFERROR(__xludf.DUMMYFUNCTION("""COMPUTED_VALUE"""),"Florian Ion T. Petrescu et al. / American Journal of Applied Sciences 2016, 13 (9): 941.946 DOI: 10.3844/ajassp.2016.941.946")</f>
        <v>Florian Ion T. Petrescu et al. / American Journal of Applied Sciences 2016, 13 (9): 941.946 DOI: 10.3844/ajassp.2016.941.946</v>
      </c>
      <c r="D164" s="1" t="str">
        <f>IFERROR(__xludf.DUMMYFUNCTION("""COMPUTED_VALUE"""),"Petrescu, Florian Ion T;APICELLA, Antonio;Petrescu, Relly Victoria V.;Kozaitis, Samuel P.;Bucinell, Ronald B.;AVERSA, Raffaella;Abu Lebdeh, Taher M.  ")</f>
        <v>Petrescu, Florian Ion T;APICELLA, Antonio;Petrescu, Relly Victoria V.;Kozaitis, Samuel P.;Bucinell, Ronald B.;AVERSA, Raffaella;Abu Lebdeh, Taher M.  </v>
      </c>
      <c r="E164" s="1" t="str">
        <f>IFERROR(__xludf.DUMMYFUNCTION("""COMPUTED_VALUE"""),"NEGATIVE")</f>
        <v>NEGATIVE</v>
      </c>
      <c r="F164" s="1" t="str">
        <f>IFERROR(__xludf.DUMMYFUNCTION("""COMPUTED_VALUE"""),"Nuclear Energy")</f>
        <v>Nuclear Energy</v>
      </c>
      <c r="G164" s="1" t="str">
        <f>IFERROR(__xludf.DUMMYFUNCTION("""COMPUTED_VALUE"""),"How nuclear energy is a better alternative ")</f>
        <v>How nuclear energy is a better alternative </v>
      </c>
      <c r="H164" s="1" t="str">
        <f>IFERROR(__xludf.DUMMYFUNCTION("""COMPUTED_VALUE"""),"Environmental protection through implementation of green energies is progressively becoming a daily reality. Numerous sources of green energy were introduced in recent years. Although this process initially started with difficulties, it finally resulted i"&amp;"n an acceleration and implementation of new green energy technologies. Nonetheless, new major obstacles are emerging. The most worldwide difficult obstacle encountered, especially for wind and photovoltaic electric power plants, is the not regular and pre"&amp;"dictable green energy production. This study proposes solutions designed to solve this unpleasant aspect of irregular production of green energy. The basic idea refers to the construction of specially designed nuclear power plants acting as energy buffers"&amp;". Nuclear power plants, indeed, may behave as proper energy buffers able to work to a minimum capacity when the green energy (i.e., wind power or PV) is steadily produced (namely, when the energy generated by the turbines or PV panels is at full constant "&amp;"capacity) but that can also run at progressively increased capacities when the wind or solar energy production reduces or stops. The work get two major contributions: 1-propose to the achievement of an energy buffer using nuclear power plants (for the mom"&amp;"ent on nuclear fission); 2-shows some theoretical aspects important needed to carry out the reaction of the fusion.")</f>
        <v>Environmental protection through implementation of green energies is progressively becoming a daily reality. Numerous sources of green energy were introduced in recent years. Although this process initially started with difficulties, it finally resulted in an acceleration and implementation of new green energy technologies. Nonetheless, new major obstacles are emerging. The most worldwide difficult obstacle encountered, especially for wind and photovoltaic electric power plants, is the not regular and predictable green energy production. This study proposes solutions designed to solve this unpleasant aspect of irregular production of green energy. The basic idea refers to the construction of specially designed nuclear power plants acting as energy buffers. Nuclear power plants, indeed, may behave as proper energy buffers able to work to a minimum capacity when the green energy (i.e., wind power or PV) is steadily produced (namely, when the energy generated by the turbines or PV panels is at full constant capacity) but that can also run at progressively increased capacities when the wind or solar energy production reduces or stops. The work get two major contributions: 1-propose to the achievement of an energy buffer using nuclear power plants (for the moment on nuclear fission); 2-shows some theoretical aspects important needed to carry out the reaction of the fusion.</v>
      </c>
      <c r="I164" s="1" t="str">
        <f>IFERROR(__xludf.DUMMYFUNCTION("""COMPUTED_VALUE"""),"Graham ASU")</f>
        <v>Graham ASU</v>
      </c>
      <c r="J164" s="1" t="str">
        <f>IFERROR(__xludf.DUMMYFUNCTION("""COMPUTED_VALUE"""),"Wave 2 (due Nov. 8)")</f>
        <v>Wave 2 (due Nov. 8)</v>
      </c>
      <c r="K164" s="5" t="str">
        <f>IFERROR(__xludf.DUMMYFUNCTION("""COMPUTED_VALUE"""),"https://drive.google.com/open?id=11REbblXjVz_rIewZcK5TFerUEQvv7_Ek")</f>
        <v>https://drive.google.com/open?id=11REbblXjVz_rIewZcK5TFerUEQvv7_Ek</v>
      </c>
      <c r="L164" s="3" t="s">
        <v>2</v>
      </c>
    </row>
    <row r="165">
      <c r="A165" s="4">
        <f>IFERROR(__xludf.DUMMYFUNCTION("""COMPUTED_VALUE"""),45603.621049884256)</f>
        <v>45603.62105</v>
      </c>
      <c r="B165" s="1" t="str">
        <f>IFERROR(__xludf.DUMMYFUNCTION("""COMPUTED_VALUE"""),"afgraha1@asu.edu")</f>
        <v>afgraha1@asu.edu</v>
      </c>
      <c r="C165" s="1" t="str">
        <f>IFERROR(__xludf.DUMMYFUNCTION("""COMPUTED_VALUE"""),"Kais Saidi, Mounir Ben Mbarek, Nuclear energy, renewable energy, CO2 emissions, and economic growth for nine developed countries: Evidence from panel Granger causality tests, Progress in Nuclear Energy, Volume 88, 2016, Pages 364-374, ISSN 0149-1970, http"&amp;"s://doi.org/10.1016/j.pnucene.2016.01.018.")</f>
        <v>Kais Saidi, Mounir Ben Mbarek, Nuclear energy, renewable energy, CO2 emissions, and economic growth for nine developed countries: Evidence from panel Granger causality tests, Progress in Nuclear Energy, Volume 88, 2016, Pages 364-374, ISSN 0149-1970, https://doi.org/10.1016/j.pnucene.2016.01.018.</v>
      </c>
      <c r="D165" s="1" t="str">
        <f>IFERROR(__xludf.DUMMYFUNCTION("""COMPUTED_VALUE"""),"Kais Saidi, Mounir Ben Mbarek, Nuclear energy, renewable energy, CO2 emissions, and economic growth for nine developed countries: Evidence from panel Granger causality tests, Progress in Nuclear Energy, Volume 88, 2016, Pages 364-374, ISSN 0149-1970, http"&amp;"s://doi.org/10.1016/j.pnucene.2016.01.018.")</f>
        <v>Kais Saidi, Mounir Ben Mbarek, Nuclear energy, renewable energy, CO2 emissions, and economic growth for nine developed countries: Evidence from panel Granger causality tests, Progress in Nuclear Energy, Volume 88, 2016, Pages 364-374, ISSN 0149-1970, https://doi.org/10.1016/j.pnucene.2016.01.018.</v>
      </c>
      <c r="E165" s="1" t="str">
        <f>IFERROR(__xludf.DUMMYFUNCTION("""COMPUTED_VALUE"""),"MIXED")</f>
        <v>MIXED</v>
      </c>
      <c r="F165" s="1" t="str">
        <f>IFERROR(__xludf.DUMMYFUNCTION("""COMPUTED_VALUE"""),"Nuclear Energy")</f>
        <v>Nuclear Energy</v>
      </c>
      <c r="G165" s="1" t="str">
        <f>IFERROR(__xludf.DUMMYFUNCTION("""COMPUTED_VALUE"""),"We studied the dynamic links among NEC, CO2 emissions, REC and GDP.
•
Unidirectional links from REC to GDP at short run was found.
•
Bidirectional causality between REC and GDP was found.
•
There is a unidirectional causality from GDP to CO2 at long run.")</f>
        <v>We studied the dynamic links among NEC, CO2 emissions, REC and GDP.
•
Unidirectional links from REC to GDP at short run was found.
•
Bidirectional causality between REC and GDP was found.
•
There is a unidirectional causality from GDP to CO2 at long run.</v>
      </c>
      <c r="H165" s="1" t="str">
        <f>IFERROR(__xludf.DUMMYFUNCTION("""COMPUTED_VALUE"""),"The aim of this paper is to investigate the causal relationship between nuclear energy consumption, CO2 emissions, renewable energy and real GDP per capita using dynamic panel for nine developed countries over the period 1990–2013. Capital and labor are i"&amp;"ncluded as additional variables. Results shown that there is a unidirectional causality running from renewable energy consumption to real GDP per capita for the whole panel at short run; this implies that policies for reducing energy consumption may not r"&amp;"etard economic growth and income. However, there is no links between nuclear energy consumption and real GDP per capita, but a unidirectional causality from nuclear energy consumption to labor. Moreover, a bidirectional causality between labor and capital"&amp;", and between CO2 emissions and capital are found. In addition, there is a unidirectional causal relationship from labor to CO2 emissions, while among other variables no causal relationship is found.
In the long run, there exists also a bidirectional caus"&amp;"ality between renewable energy consumption and real GDP per capita, which complain that renewable energy is a crucial component for economic growth. In addition, results revealed a unidirectional causality from GDP to CO2 emissions.")</f>
        <v>The aim of this paper is to investigate the causal relationship between nuclear energy consumption, CO2 emissions, renewable energy and real GDP per capita using dynamic panel for nine developed countries over the period 1990–2013. Capital and labor are included as additional variables. Results shown that there is a unidirectional causality running from renewable energy consumption to real GDP per capita for the whole panel at short run; this implies that policies for reducing energy consumption may not retard economic growth and income. However, there is no links between nuclear energy consumption and real GDP per capita, but a unidirectional causality from nuclear energy consumption to labor. Moreover, a bidirectional causality between labor and capital, and between CO2 emissions and capital are found. In addition, there is a unidirectional causal relationship from labor to CO2 emissions, while among other variables no causal relationship is found.
In the long run, there exists also a bidirectional causality between renewable energy consumption and real GDP per capita, which complain that renewable energy is a crucial component for economic growth. In addition, results revealed a unidirectional causality from GDP to CO2 emissions.</v>
      </c>
      <c r="I165" s="1" t="str">
        <f>IFERROR(__xludf.DUMMYFUNCTION("""COMPUTED_VALUE"""),"Graham ASU")</f>
        <v>Graham ASU</v>
      </c>
      <c r="J165" s="1" t="str">
        <f>IFERROR(__xludf.DUMMYFUNCTION("""COMPUTED_VALUE"""),"Wave 2 (due Nov. 8)")</f>
        <v>Wave 2 (due Nov. 8)</v>
      </c>
      <c r="K165" s="5" t="str">
        <f>IFERROR(__xludf.DUMMYFUNCTION("""COMPUTED_VALUE"""),"https://drive.google.com/open?id=1cHMzdszS-10LwR3v0ULBZ95BhFePACjQ")</f>
        <v>https://drive.google.com/open?id=1cHMzdszS-10LwR3v0ULBZ95BhFePACjQ</v>
      </c>
      <c r="L165" s="3" t="s">
        <v>2</v>
      </c>
    </row>
    <row r="166">
      <c r="A166" s="4">
        <f>IFERROR(__xludf.DUMMYFUNCTION("""COMPUTED_VALUE"""),45603.62306395834)</f>
        <v>45603.62306</v>
      </c>
      <c r="B166" s="1" t="str">
        <f>IFERROR(__xludf.DUMMYFUNCTION("""COMPUTED_VALUE"""),"afgraha1@asu.edu")</f>
        <v>afgraha1@asu.edu</v>
      </c>
      <c r="C166" s="1" t="str">
        <f>IFERROR(__xludf.DUMMYFUNCTION("""COMPUTED_VALUE"""),"Nikolaus Muellner, Nikolaus Arnold, Klaus Gufler, Wolfgang Kromp, Wolfgang Renneberg, Wolfgang Liebert, Nuclear energy - The solution to climate change?, Energy Policy, Volume 155, 2021, 112363, ISSN 0301-4215, https://doi.org/10.1016/j.enpol.2021.112363."&amp;" (https://www.sciencedirect.com/science/article/pii/S0301421521002330)")</f>
        <v>Nikolaus Muellner, Nikolaus Arnold, Klaus Gufler, Wolfgang Kromp, Wolfgang Renneberg, Wolfgang Liebert, Nuclear energy - The solution to climate change?, Energy Policy, Volume 155, 2021, 112363, ISSN 0301-4215, https://doi.org/10.1016/j.enpol.2021.112363. (https://www.sciencedirect.com/science/article/pii/S0301421521002330)</v>
      </c>
      <c r="D166" s="1" t="str">
        <f>IFERROR(__xludf.DUMMYFUNCTION("""COMPUTED_VALUE"""),"Nikolaus Muellner ,  Nikolaus Arnold ,  Klaus Gufler ,  Wolfgang Kromp ,  Wolfgang Renneberg ,  Wolfgang Liebert Institute of Safety- and Risk Sciences, University of Natural Resources and Life Sciences, Vienna, Austria")</f>
        <v>Nikolaus Muellner ,  Nikolaus Arnold ,  Klaus Gufler ,  Wolfgang Kromp ,  Wolfgang Renneberg ,  Wolfgang Liebert Institute of Safety- and Risk Sciences, University of Natural Resources and Life Sciences, Vienna, Austria</v>
      </c>
      <c r="E166" s="1" t="str">
        <f>IFERROR(__xludf.DUMMYFUNCTION("""COMPUTED_VALUE"""),"NEGATIVE")</f>
        <v>NEGATIVE</v>
      </c>
      <c r="F166" s="1" t="str">
        <f>IFERROR(__xludf.DUMMYFUNCTION("""COMPUTED_VALUE"""),"Nuclear Energy")</f>
        <v>Nuclear Energy</v>
      </c>
      <c r="G166" s="1" t="str">
        <f>IFERROR(__xludf.DUMMYFUNCTION("""COMPUTED_VALUE"""),"Nuclear power's contribution to climate change mitigation is and will be very limited.
•
Currently nuclear power avoids 2–3% of total global GHG emissions per year.
•
According to current planning this value will decrease even further until 2040.
•
A subs"&amp;"tantial expansion of nuclear power will not be possible.
•
Given its low contribution, a complete phase-out of nuclear energy is feasible.")</f>
        <v>Nuclear power's contribution to climate change mitigation is and will be very limited.
•
Currently nuclear power avoids 2–3% of total global GHG emissions per year.
•
According to current planning this value will decrease even further until 2040.
•
A substantial expansion of nuclear power will not be possible.
•
Given its low contribution, a complete phase-out of nuclear energy is feasible.</v>
      </c>
      <c r="H166" s="1" t="str">
        <f>IFERROR(__xludf.DUMMYFUNCTION("""COMPUTED_VALUE"""),"With increased awareness of climate change in recent years nuclear energy has received renewed attention. Positions that attribute nuclear energy an important role in climate change mitigation emerge.
We estimate an upper bound of the CO2 saving potential"&amp;" of various nuclear energy growth scenarios, starting from our projection of nuclear generating capacity based on current national energy plans to scenarios that introduce nuclear energy as substantial instrument for climate protection. We then look at ne"&amp;"eded uranium resources.
The most important result of the present work is that the contribution of nuclear power to mitigate climate change is, and will be, very limited. At present nuclear power avoids annually 2–3% of total global GHG emissions. Looking "&amp;"at announced plans for new nuclear builds and lifetime extensions this value would decrease even further until 2040. Furthermore, a substantial expansion of nuclear power will not be possible because of technical obstacles and limited resources. Limited u"&amp;"ranium-235 supply inhibits substantial expansion scenarios with the current nuclear technology. New nuclear technologies, making use of uranium-238, will not be available in time. Even if such expansion scenarios were possible, their climate change mitiga"&amp;"tion potential would not be sufficient as single action.")</f>
        <v>With increased awareness of climate change in recent years nuclear energy has received renewed attention. Positions that attribute nuclear energy an important role in climate change mitigation emerge.
We estimate an upper bound of the CO2 saving potential of various nuclear energy growth scenarios, starting from our projection of nuclear generating capacity based on current national energy plans to scenarios that introduce nuclear energy as substantial instrument for climate protection. We then look at needed uranium resources.
The most important result of the present work is that the contribution of nuclear power to mitigate climate change is, and will be, very limited. At present nuclear power avoids annually 2–3% of total global GHG emissions. Looking at announced plans for new nuclear builds and lifetime extensions this value would decrease even further until 2040. Furthermore, a substantial expansion of nuclear power will not be possible because of technical obstacles and limited resources. Limited uranium-235 supply inhibits substantial expansion scenarios with the current nuclear technology. New nuclear technologies, making use of uranium-238, will not be available in time. Even if such expansion scenarios were possible, their climate change mitigation potential would not be sufficient as single action.</v>
      </c>
      <c r="I166" s="1" t="str">
        <f>IFERROR(__xludf.DUMMYFUNCTION("""COMPUTED_VALUE"""),"Graham ASU")</f>
        <v>Graham ASU</v>
      </c>
      <c r="J166" s="1" t="str">
        <f>IFERROR(__xludf.DUMMYFUNCTION("""COMPUTED_VALUE"""),"Wave 2 (due Nov. 8)")</f>
        <v>Wave 2 (due Nov. 8)</v>
      </c>
      <c r="K166" s="5" t="str">
        <f>IFERROR(__xludf.DUMMYFUNCTION("""COMPUTED_VALUE"""),"https://drive.google.com/open?id=1BMxuWu11ycUq9KVjAFiVDaUWngXU12m8")</f>
        <v>https://drive.google.com/open?id=1BMxuWu11ycUq9KVjAFiVDaUWngXU12m8</v>
      </c>
      <c r="L166" s="3" t="s">
        <v>2</v>
      </c>
    </row>
    <row r="167">
      <c r="A167" s="4">
        <f>IFERROR(__xludf.DUMMYFUNCTION("""COMPUTED_VALUE"""),45603.62585517361)</f>
        <v>45603.62586</v>
      </c>
      <c r="B167" s="1" t="str">
        <f>IFERROR(__xludf.DUMMYFUNCTION("""COMPUTED_VALUE"""),"afgraha1@asu.edu")</f>
        <v>afgraha1@asu.edu</v>
      </c>
      <c r="C167" s="1" t="str">
        <f>IFERROR(__xludf.DUMMYFUNCTION("""COMPUTED_VALUE"""),"Tanushree Dutta, Ki-Hyun Kim, Minori Uchimiya, Eilhann E. Kwon, Byong-Hun Jeon, Akash Deep, Seong-Taek Yun, Global demand for rare earth resources and strategies for green mining, Environmental Research, Volume 150, 2016, Pages 182-190, ISSN 0013-9351, ht"&amp;"tps://doi.org/10.1016/j.envres.2016.05.052. (https://www.sciencedirect.com/science/article/pii/S0013935116302249)")</f>
        <v>Tanushree Dutta, Ki-Hyun Kim, Minori Uchimiya, Eilhann E. Kwon, Byong-Hun Jeon, Akash Deep, Seong-Taek Yun, Global demand for rare earth resources and strategies for green mining, Environmental Research, Volume 150, 2016, Pages 182-190, ISSN 0013-9351, https://doi.org/10.1016/j.envres.2016.05.052. (https://www.sciencedirect.com/science/article/pii/S0013935116302249)</v>
      </c>
      <c r="D167" s="1" t="str">
        <f>IFERROR(__xludf.DUMMYFUNCTION("""COMPUTED_VALUE"""),"Tanushree Dutta a , Ki-Hyun Kim a ,  Minori Uchimiya b ,  Eilhann E. Kwon c ,  Byong-Hun Jeon d ,  Akash Deep e ,  Seong-Taek Yun f a Department of Civil &amp; Environmental Engineering, Hanyang University, 222 Wangsimni-Ro, Seoul 04763, Republic of Korea b U"&amp;"SDA-ARS Southern Regional Research Center, 1100 Robert E. Lee Boulevard, New Orleans, LA 70124, United States c Department of Environment and Energy, Sejong University, Seoul 05006, Republic of Korea d Department of Natural Resources &amp; Environmental Engin"&amp;"eering, Hanyang University, 222 Wangsimni-Ro, Seoul 04763, Republic of Korea e Central Scientific Instruments Organisation (CSIR-CSIO), Sector 30C, Chandigarh 160030, India f Department of Earth and Environmental Sciences and KU-KIST Green School, Korea U"&amp;"niversity, Seoul 02841, Republic of Korea")</f>
        <v>Tanushree Dutta a , Ki-Hyun Kim a ,  Minori Uchimiya b ,  Eilhann E. Kwon c ,  Byong-Hun Jeon d ,  Akash Deep e ,  Seong-Taek Yun f a Department of Civil &amp; Environmental Engineering, Hanyang University, 222 Wangsimni-Ro, Seoul 04763, Republic of Korea b USDA-ARS Southern Regional Research Center, 1100 Robert E. Lee Boulevard, New Orleans, LA 70124, United States c Department of Environment and Energy, Sejong University, Seoul 05006, Republic of Korea d Department of Natural Resources &amp; Environmental Engineering, Hanyang University, 222 Wangsimni-Ro, Seoul 04763, Republic of Korea e Central Scientific Instruments Organisation (CSIR-CSIO), Sector 30C, Chandigarh 160030, India f Department of Earth and Environmental Sciences and KU-KIST Green School, Korea University, Seoul 02841, Republic of Korea</v>
      </c>
      <c r="E167" s="1" t="str">
        <f>IFERROR(__xludf.DUMMYFUNCTION("""COMPUTED_VALUE"""),"AFFIRMATIVE")</f>
        <v>AFFIRMATIVE</v>
      </c>
      <c r="F167" s="1" t="str">
        <f>IFERROR(__xludf.DUMMYFUNCTION("""COMPUTED_VALUE"""),"REM")</f>
        <v>REM</v>
      </c>
      <c r="G167" s="1" t="str">
        <f>IFERROR(__xludf.DUMMYFUNCTION("""COMPUTED_VALUE"""),"How we can mine for REM responsibly ")</f>
        <v>How we can mine for REM responsibly </v>
      </c>
      <c r="H167" s="1" t="str">
        <f>IFERROR(__xludf.DUMMYFUNCTION("""COMPUTED_VALUE"""),"Rare earth elements (REEs) are essential raw materials for emerging renewable energy resources and ‘smart’ electronic devices. Global REE demand is slated to grow at an annual rate of 5% by 2020. This high growth rate will require a steady supply base of "&amp;"REEs in the long run. At present, China is responsible for 85% of global rare earth oxide (REO) production. To overcome this monopolistic supply situation, new strategies and investments are necessary to satisfy domestic supply demands. Concurrently, envi"&amp;"ronmental, economic, and social problems arising from REE mining must be addressed. There is an urgent need to develop efficient REE recycling techniques from end-of-life products, technologies to minimize the amount of REEs required per unit device, and "&amp;"methods to recover them from fly ash or fossil fuel-burning wastes.")</f>
        <v>Rare earth elements (REEs) are essential raw materials for emerging renewable energy resources and ‘smart’ electronic devices. Global REE demand is slated to grow at an annual rate of 5% by 2020. This high growth rate will require a steady supply base of REEs in the long run. At present, China is responsible for 85% of global rare earth oxide (REO) production. To overcome this monopolistic supply situation, new strategies and investments are necessary to satisfy domestic supply demands. Concurrently, environmental, economic, and social problems arising from REE mining must be addressed. There is an urgent need to develop efficient REE recycling techniques from end-of-life products, technologies to minimize the amount of REEs required per unit device, and methods to recover them from fly ash or fossil fuel-burning wastes.</v>
      </c>
      <c r="I167" s="1" t="str">
        <f>IFERROR(__xludf.DUMMYFUNCTION("""COMPUTED_VALUE"""),"Graham ASU")</f>
        <v>Graham ASU</v>
      </c>
      <c r="J167" s="1" t="str">
        <f>IFERROR(__xludf.DUMMYFUNCTION("""COMPUTED_VALUE"""),"Wave 2 (due Nov. 8)")</f>
        <v>Wave 2 (due Nov. 8)</v>
      </c>
      <c r="K167" s="5" t="str">
        <f>IFERROR(__xludf.DUMMYFUNCTION("""COMPUTED_VALUE"""),"https://drive.google.com/open?id=1xC310oh2Eu5osLSlpcDcDCarOp8Z9vpK")</f>
        <v>https://drive.google.com/open?id=1xC310oh2Eu5osLSlpcDcDCarOp8Z9vpK</v>
      </c>
      <c r="L167" s="3" t="s">
        <v>2</v>
      </c>
    </row>
    <row r="168">
      <c r="A168" s="4">
        <f>IFERROR(__xludf.DUMMYFUNCTION("""COMPUTED_VALUE"""),45603.62881113426)</f>
        <v>45603.62881</v>
      </c>
      <c r="B168" s="1" t="str">
        <f>IFERROR(__xludf.DUMMYFUNCTION("""COMPUTED_VALUE"""),"afgraha1@asu.edu")</f>
        <v>afgraha1@asu.edu</v>
      </c>
      <c r="C168" s="1" t="str">
        <f>IFERROR(__xludf.DUMMYFUNCTION("""COMPUTED_VALUE"""),"Jaroni MS, Friedrich B, Letmathe P. Economical Feasibility of Rare Earth Mining outside China. Minerals. 2019; 9(10):576. https://doi.org/10.3390/min9100576")</f>
        <v>Jaroni MS, Friedrich B, Letmathe P. Economical Feasibility of Rare Earth Mining outside China. Minerals. 2019; 9(10):576. https://doi.org/10.3390/min9100576</v>
      </c>
      <c r="D168" s="1" t="str">
        <f>IFERROR(__xludf.DUMMYFUNCTION("""COMPUTED_VALUE"""),"Marie Sophie Jaroni 1, Bernd Friedrich 1,*ORCID and Peter Letmathe 2,*ORCID 1 IME Process Metallurgy and Metal Recycling Department, RWTH Aachen University, 52056 Aachen, Germany 2 Chair of Management Accounting, RWTH Aachen University, 52062 Aachen, Germ"&amp;"any * Authors to whom correspondence should be addressed.")</f>
        <v>Marie Sophie Jaroni 1, Bernd Friedrich 1,*ORCID and Peter Letmathe 2,*ORCID 1 IME Process Metallurgy and Metal Recycling Department, RWTH Aachen University, 52056 Aachen, Germany 2 Chair of Management Accounting, RWTH Aachen University, 52062 Aachen, Germany * Authors to whom correspondence should be addressed.</v>
      </c>
      <c r="E168" s="1" t="str">
        <f>IFERROR(__xludf.DUMMYFUNCTION("""COMPUTED_VALUE"""),"MIXED")</f>
        <v>MIXED</v>
      </c>
      <c r="F168" s="1" t="str">
        <f>IFERROR(__xludf.DUMMYFUNCTION("""COMPUTED_VALUE"""),"REM ")</f>
        <v>REM </v>
      </c>
      <c r="G168" s="1" t="str">
        <f>IFERROR(__xludf.DUMMYFUNCTION("""COMPUTED_VALUE"""),"If it is possible for REM to be outside of Chinas domain ")</f>
        <v>If it is possible for REM to be outside of Chinas domain </v>
      </c>
      <c r="H168" s="1" t="str">
        <f>IFERROR(__xludf.DUMMYFUNCTION("""COMPUTED_VALUE"""),"Although rare earth deposits are found on all continents, China produces more than 90% of all globally used rare earth metals. Besides its economic dominance, China has also gained a monopolistic know how position in Rare Earth Elements process technologi"&amp;"es. Based on China’s dominant position in rare earth markets, other countries such as the USA, Australia, Europe and Japan are increasingly concerned about a stable rare earth supply and their increasing dependence on China. In 2019 the new trade conflict"&amp;" blazed up between China and the U.S., and the threat of China to decrease or even stop rare earth supply to the U.S. is a new chapter in the trade war which shows that new means of supply must be found. The main focus of this paper is to evaluate and com"&amp;"pare advanced rare earth projects outside China with a new holistic and objective method to get a detailed picture of possible rare earth mining outside China. In addition to the exclusively economic investigation, specific countries’ risk und price devel"&amp;"opment scenarios are considered. This leads to an objective picture of rare earth mining outside of China, which is needed as a basis for discussions of secure rare earth supply for the western world. Building on this objective economic analysis, we can a"&amp;"lso add new supply risk due to new political situations. To this end, data is compiled on 14 selected focus projects with regard to the required investments, operating costs, and the potential revenues for each case. These data are used to develop a disco"&amp;"unted cash flow model (with analogous assumptions and methods) for each project. This model enables the achievable net present value (NPV), the internal interest rate, and the static amortization period for each project to be determined.")</f>
        <v>Although rare earth deposits are found on all continents, China produces more than 90% of all globally used rare earth metals. Besides its economic dominance, China has also gained a monopolistic know how position in Rare Earth Elements process technologies. Based on China’s dominant position in rare earth markets, other countries such as the USA, Australia, Europe and Japan are increasingly concerned about a stable rare earth supply and their increasing dependence on China. In 2019 the new trade conflict blazed up between China and the U.S., and the threat of China to decrease or even stop rare earth supply to the U.S. is a new chapter in the trade war which shows that new means of supply must be found. The main focus of this paper is to evaluate and compare advanced rare earth projects outside China with a new holistic and objective method to get a detailed picture of possible rare earth mining outside China. In addition to the exclusively economic investigation, specific countries’ risk und price development scenarios are considered. This leads to an objective picture of rare earth mining outside of China, which is needed as a basis for discussions of secure rare earth supply for the western world. Building on this objective economic analysis, we can also add new supply risk due to new political situations. To this end, data is compiled on 14 selected focus projects with regard to the required investments, operating costs, and the potential revenues for each case. These data are used to develop a discounted cash flow model (with analogous assumptions and methods) for each project. This model enables the achievable net present value (NPV), the internal interest rate, and the static amortization period for each project to be determined.</v>
      </c>
      <c r="I168" s="1" t="str">
        <f>IFERROR(__xludf.DUMMYFUNCTION("""COMPUTED_VALUE"""),"Graham ASU")</f>
        <v>Graham ASU</v>
      </c>
      <c r="J168" s="1" t="str">
        <f>IFERROR(__xludf.DUMMYFUNCTION("""COMPUTED_VALUE"""),"Wave 2 (due Nov. 8)")</f>
        <v>Wave 2 (due Nov. 8)</v>
      </c>
      <c r="K168" s="5" t="str">
        <f>IFERROR(__xludf.DUMMYFUNCTION("""COMPUTED_VALUE"""),"https://drive.google.com/open?id=1QsTt366DR7MqfytQCLTifGpd_nK6iSwf")</f>
        <v>https://drive.google.com/open?id=1QsTt366DR7MqfytQCLTifGpd_nK6iSwf</v>
      </c>
      <c r="L168" s="3" t="s">
        <v>2</v>
      </c>
    </row>
    <row r="169">
      <c r="A169" s="4">
        <f>IFERROR(__xludf.DUMMYFUNCTION("""COMPUTED_VALUE"""),45604.5548843287)</f>
        <v>45604.55488</v>
      </c>
      <c r="B169" s="1" t="str">
        <f>IFERROR(__xludf.DUMMYFUNCTION("""COMPUTED_VALUE"""),"traviscram@gmail.com")</f>
        <v>traviscram@gmail.com</v>
      </c>
      <c r="C169" s="1" t="str">
        <f>IFERROR(__xludf.DUMMYFUNCTION("""COMPUTED_VALUE"""),"Sensiba, C. R., Swiger, M. A., &amp; White, S. L. (2018). Deep decarbonization and hydropower. Envtl. L. Rep. News &amp; Analysis, 48, 10309.")</f>
        <v>Sensiba, C. R., Swiger, M. A., &amp; White, S. L. (2018). Deep decarbonization and hydropower. Envtl. L. Rep. News &amp; Analysis, 48, 10309.</v>
      </c>
      <c r="D169" s="1" t="str">
        <f>IFERROR(__xludf.DUMMYFUNCTION("""COMPUTED_VALUE"""),"Charles R. Sensiba is a Partner with Troutman Sanders LLP in Washington, D.C. Michael A. Swiger is a Partner and Sharon L. White is Of Counsel with Van Ness Feldman, LLP, in Washington, D.C.")</f>
        <v>Charles R. Sensiba is a Partner with Troutman Sanders LLP in Washington, D.C. Michael A. Swiger is a Partner and Sharon L. White is Of Counsel with Van Ness Feldman, LLP, in Washington, D.C.</v>
      </c>
      <c r="E169" s="1" t="str">
        <f>IFERROR(__xludf.DUMMYFUNCTION("""COMPUTED_VALUE"""),"NEGATIVE")</f>
        <v>NEGATIVE</v>
      </c>
      <c r="F169" s="1" t="str">
        <f>IFERROR(__xludf.DUMMYFUNCTION("""COMPUTED_VALUE"""),"Hydropower DA")</f>
        <v>Hydropower DA</v>
      </c>
      <c r="G169" s="1" t="str">
        <f>IFERROR(__xludf.DUMMYFUNCTION("""COMPUTED_VALUE"""),"This article establishes the core link argument for the hydropower disadvantage, but also contains several “hydropower good” arguments. It argues that deep decarbonization will require expansions of both conventional and pumped-storage hydropower.  ")</f>
        <v>This article establishes the core link argument for the hydropower disadvantage, but also contains several “hydropower good” arguments. It argues that deep decarbonization will require expansions of both conventional and pumped-storage hydropower.  </v>
      </c>
      <c r="H169" s="1" t="str">
        <f>IFERROR(__xludf.DUMMYFUNCTION("""COMPUTED_VALUE"""),"Hydropower-both conventional and pumped storage hydropower-is crucial to sustaining our transition to a decarbonized grid. Additional hydropower development that meets modern environmental requirements is essential to reduce the United States' dependence "&amp;"on carbon. Realizing the full potential of hydropower and maintaining the current hydropower fleet will likely depend on overcoming a number of impediments, including lengthy and complex regulatory requirements, failure of electricity markets to adequatel"&amp;"y compensate hydropower generators for the grid benefits they provide, environmental opposition to new hydropower, and interest in dam removal. This Article, excerpted from Michael B. Gerrard &amp; John C. Dernbach, eds., Legal Pathways to Deep Decarbonizatio"&amp;"n in the United States (forthcoming in 2018 from ELI Press), examines how these challenges can be overcome with targeted legal and policy reforms. ")</f>
        <v>Hydropower-both conventional and pumped storage hydropower-is crucial to sustaining our transition to a decarbonized grid. Additional hydropower development that meets modern environmental requirements is essential to reduce the United States' dependence on carbon. Realizing the full potential of hydropower and maintaining the current hydropower fleet will likely depend on overcoming a number of impediments, including lengthy and complex regulatory requirements, failure of electricity markets to adequately compensate hydropower generators for the grid benefits they provide, environmental opposition to new hydropower, and interest in dam removal. This Article, excerpted from Michael B. Gerrard &amp; John C. Dernbach, eds., Legal Pathways to Deep Decarbonization in the United States (forthcoming in 2018 from ELI Press), examines how these challenges can be overcome with targeted legal and policy reforms. </v>
      </c>
      <c r="I169" s="1" t="str">
        <f>IFERROR(__xludf.DUMMYFUNCTION("""COMPUTED_VALUE"""),"Cram WWU")</f>
        <v>Cram WWU</v>
      </c>
      <c r="J169" s="1" t="str">
        <f>IFERROR(__xludf.DUMMYFUNCTION("""COMPUTED_VALUE"""),"Wave 2 (due Nov. 8)")</f>
        <v>Wave 2 (due Nov. 8)</v>
      </c>
      <c r="K169" s="5" t="str">
        <f>IFERROR(__xludf.DUMMYFUNCTION("""COMPUTED_VALUE"""),"https://drive.google.com/open?id=1R48c3To5QUr5fAb8grLlPmtPXJD2Xp_Q")</f>
        <v>https://drive.google.com/open?id=1R48c3To5QUr5fAb8grLlPmtPXJD2Xp_Q</v>
      </c>
      <c r="L169" s="3" t="s">
        <v>2</v>
      </c>
    </row>
    <row r="170">
      <c r="A170" s="4">
        <f>IFERROR(__xludf.DUMMYFUNCTION("""COMPUTED_VALUE"""),45604.55585377315)</f>
        <v>45604.55585</v>
      </c>
      <c r="B170" s="1" t="str">
        <f>IFERROR(__xludf.DUMMYFUNCTION("""COMPUTED_VALUE"""),"traviscram@gmail.com")</f>
        <v>traviscram@gmail.com</v>
      </c>
      <c r="C170" s="1" t="str">
        <f>IFERROR(__xludf.DUMMYFUNCTION("""COMPUTED_VALUE"""),"Haemmerli, H. L., Gerlak, A. K., &amp; Swanson, T. (2024). Reimagining hydropower in the United States. Wiley Interdisciplinary Reviews: Water, e1735.")</f>
        <v>Haemmerli, H. L., Gerlak, A. K., &amp; Swanson, T. (2024). Reimagining hydropower in the United States. Wiley Interdisciplinary Reviews: Water, e1735.</v>
      </c>
      <c r="D170" s="1" t="str">
        <f>IFERROR(__xludf.DUMMYFUNCTION("""COMPUTED_VALUE"""),"Hannah Hämmerli is an Assistant Professor at Washington State University with a PhD from James Cook University, AU.   Andrea K. Gerlak is a Professor at the University of Arizona with a joint appointment at the in the School of Geography, Development and "&amp;"Environment and as a Research Professor at the Udall Center for Studies in Public Policy.  Tyler Swanson is a social science researcher at the University of Arizona pursuing a MA in Geography.")</f>
        <v>Hannah Hämmerli is an Assistant Professor at Washington State University with a PhD from James Cook University, AU.   Andrea K. Gerlak is a Professor at the University of Arizona with a joint appointment at the in the School of Geography, Development and Environment and as a Research Professor at the Udall Center for Studies in Public Policy.  Tyler Swanson is a social science researcher at the University of Arizona pursuing a MA in Geography.</v>
      </c>
      <c r="E170" s="1" t="str">
        <f>IFERROR(__xludf.DUMMYFUNCTION("""COMPUTED_VALUE"""),"MIXED")</f>
        <v>MIXED</v>
      </c>
      <c r="F170" s="1" t="str">
        <f>IFERROR(__xludf.DUMMYFUNCTION("""COMPUTED_VALUE"""),"Hydropower DA")</f>
        <v>Hydropower DA</v>
      </c>
      <c r="G170" s="1" t="str">
        <f>IFERROR(__xludf.DUMMYFUNCTION("""COMPUTED_VALUE"""),"This article contains both impact arguments for the negative and possible impact answers. It conducts a review of the role hydropower plays in the energy vision of different stakeholders. It also contains link arguments to centralizing decision-making.")</f>
        <v>This article contains both impact arguments for the negative and possible impact answers. It conducts a review of the role hydropower plays in the energy vision of different stakeholders. It also contains link arguments to centralizing decision-making.</v>
      </c>
      <c r="H170" s="1" t="str">
        <f>IFERROR(__xludf.DUMMYFUNCTION("""COMPUTED_VALUE"""),"In this Perspective, we review the clashing narratives around the role of hydropower in the United States' (US) energy future. In doing so, we reveal how hydropower is regarded as a keystone for the renewable energy transition but also viewed as a harmful"&amp;" technology with significant negative environmental and social impacts. These narratives can be seen in the contrasting future renewable energy visions of US government agencies, the hydropower industry, NGOs, and Tribal governments. We review critical le"&amp;"ssons learned from past dam- and hydropower-related challenges to reimagine a just energy future for the US that bridges diverse sectors, jurisdictions, and values. We conclude by highlighting some key paths forward that might result in more resilient and"&amp;" adaptive water and energy systems as the country strives to decarbonize.")</f>
        <v>In this Perspective, we review the clashing narratives around the role of hydropower in the United States' (US) energy future. In doing so, we reveal how hydropower is regarded as a keystone for the renewable energy transition but also viewed as a harmful technology with significant negative environmental and social impacts. These narratives can be seen in the contrasting future renewable energy visions of US government agencies, the hydropower industry, NGOs, and Tribal governments. We review critical lessons learned from past dam- and hydropower-related challenges to reimagine a just energy future for the US that bridges diverse sectors, jurisdictions, and values. We conclude by highlighting some key paths forward that might result in more resilient and adaptive water and energy systems as the country strives to decarbonize.</v>
      </c>
      <c r="I170" s="1" t="str">
        <f>IFERROR(__xludf.DUMMYFUNCTION("""COMPUTED_VALUE"""),"Cram WWU")</f>
        <v>Cram WWU</v>
      </c>
      <c r="J170" s="1" t="str">
        <f>IFERROR(__xludf.DUMMYFUNCTION("""COMPUTED_VALUE"""),"Wave 2 (due Nov. 8)")</f>
        <v>Wave 2 (due Nov. 8)</v>
      </c>
      <c r="K170" s="5" t="str">
        <f>IFERROR(__xludf.DUMMYFUNCTION("""COMPUTED_VALUE"""),"https://drive.google.com/open?id=1kWweF1BUtgk61LuV59US1gLFMQLXcGfH")</f>
        <v>https://drive.google.com/open?id=1kWweF1BUtgk61LuV59US1gLFMQLXcGfH</v>
      </c>
      <c r="L170" s="3" t="s">
        <v>2</v>
      </c>
    </row>
    <row r="171">
      <c r="A171" s="4">
        <f>IFERROR(__xludf.DUMMYFUNCTION("""COMPUTED_VALUE"""),45604.556824479165)</f>
        <v>45604.55682</v>
      </c>
      <c r="B171" s="1" t="str">
        <f>IFERROR(__xludf.DUMMYFUNCTION("""COMPUTED_VALUE"""),"traviscram@gmail.com")</f>
        <v>traviscram@gmail.com</v>
      </c>
      <c r="C171" s="1" t="str">
        <f>IFERROR(__xludf.DUMMYFUNCTION("""COMPUTED_VALUE"""),"Welsh, J. A. (2021). Behind the Concrete Curtain: Acknowledging and Curbing Greenhouse Gas Emissions from Hydroelectric Facilities and River Impoundments. San Diego J. Climate &amp; Energy L., 13, 263.")</f>
        <v>Welsh, J. A. (2021). Behind the Concrete Curtain: Acknowledging and Curbing Greenhouse Gas Emissions from Hydroelectric Facilities and River Impoundments. San Diego J. Climate &amp; Energy L., 13, 263.</v>
      </c>
      <c r="D171" s="1" t="str">
        <f>IFERROR(__xludf.DUMMYFUNCTION("""COMPUTED_VALUE"""),"Joseph A. Welsh was a J.D. candidate at the University of California-San Diego at time of this publication.")</f>
        <v>Joseph A. Welsh was a J.D. candidate at the University of California-San Diego at time of this publication.</v>
      </c>
      <c r="E171" s="1" t="str">
        <f>IFERROR(__xludf.DUMMYFUNCTION("""COMPUTED_VALUE"""),"NEGATIVE")</f>
        <v>NEGATIVE</v>
      </c>
      <c r="F171" s="1" t="str">
        <f>IFERROR(__xludf.DUMMYFUNCTION("""COMPUTED_VALUE"""),"Hydropower DA")</f>
        <v>Hydropower DA</v>
      </c>
      <c r="G171" s="1" t="str">
        <f>IFERROR(__xludf.DUMMYFUNCTION("""COMPUTED_VALUE"""),"This article is the core hydropower bad article. It both indicts pro-hydropower methodology and does a climate emissions assessment of hydropower.")</f>
        <v>This article is the core hydropower bad article. It both indicts pro-hydropower methodology and does a climate emissions assessment of hydropower.</v>
      </c>
      <c r="H171" s="1" t="str">
        <f>IFERROR(__xludf.DUMMYFUNCTION("""COMPUTED_VALUE"""),"This Article will put the standard hydropower consensus to task and analyze whether it holds water as a resource that can be heavily relied upon in a clean energy transition. First, a review of the United States' history with hydropower will summarize the"&amp;" construction of a ubiquitous pro-power narrative that pervaded hydroelectric conversations well into the 1970s. A narrative that has recently found favor again as the global community seeks a path to avoid the worst effects of climate change. Second, thi"&amp;"s Article will discuss the nascent scientific consensus around the impact of twentieth and twenty-first century proliferation of hydropower and river impoundments. Third, this Article will explore current federal legislative tools available to account for"&amp;" and mitigate future impacts, including suggestions to amend current legislation to require analysis of hydroelectric impact on  climate change. Finally, this Article will analyze national policy regarding prospective development and reliance on hydropowe"&amp;"r.")</f>
        <v>This Article will put the standard hydropower consensus to task and analyze whether it holds water as a resource that can be heavily relied upon in a clean energy transition. First, a review of the United States' history with hydropower will summarize the construction of a ubiquitous pro-power narrative that pervaded hydroelectric conversations well into the 1970s. A narrative that has recently found favor again as the global community seeks a path to avoid the worst effects of climate change. Second, this Article will discuss the nascent scientific consensus around the impact of twentieth and twenty-first century proliferation of hydropower and river impoundments. Third, this Article will explore current federal legislative tools available to account for and mitigate future impacts, including suggestions to amend current legislation to require analysis of hydroelectric impact on  climate change. Finally, this Article will analyze national policy regarding prospective development and reliance on hydropower.</v>
      </c>
      <c r="I171" s="1" t="str">
        <f>IFERROR(__xludf.DUMMYFUNCTION("""COMPUTED_VALUE"""),"Cram WWU")</f>
        <v>Cram WWU</v>
      </c>
      <c r="J171" s="1" t="str">
        <f>IFERROR(__xludf.DUMMYFUNCTION("""COMPUTED_VALUE"""),"Wave 2 (due Nov. 8)")</f>
        <v>Wave 2 (due Nov. 8)</v>
      </c>
      <c r="K171" s="5" t="str">
        <f>IFERROR(__xludf.DUMMYFUNCTION("""COMPUTED_VALUE"""),"https://drive.google.com/open?id=1fAxF7ZptB8klBYV8iWyGV5fMuGThqQNB")</f>
        <v>https://drive.google.com/open?id=1fAxF7ZptB8klBYV8iWyGV5fMuGThqQNB</v>
      </c>
      <c r="L171" s="3" t="s">
        <v>2</v>
      </c>
    </row>
    <row r="172">
      <c r="A172" s="4">
        <f>IFERROR(__xludf.DUMMYFUNCTION("""COMPUTED_VALUE"""),45604.55762232639)</f>
        <v>45604.55762</v>
      </c>
      <c r="B172" s="1" t="str">
        <f>IFERROR(__xludf.DUMMYFUNCTION("""COMPUTED_VALUE"""),"traviscram@gmail.com")</f>
        <v>traviscram@gmail.com</v>
      </c>
      <c r="C172" s="1" t="str">
        <f>IFERROR(__xludf.DUMMYFUNCTION("""COMPUTED_VALUE"""),"Ho, M., Lall, U., Allaire, M., Devineni, N., Kwon, H. H., Pal, I., ... &amp; Wegner, D. (2017). The future role of dams in the U nited S tates of A merica. Water Resources Research, 53(2), 982-998.")</f>
        <v>Ho, M., Lall, U., Allaire, M., Devineni, N., Kwon, H. H., Pal, I., ... &amp; Wegner, D. (2017). The future role of dams in the U nited S tates of A merica. Water Resources Research, 53(2), 982-998.</v>
      </c>
      <c r="D172" s="1" t="str">
        <f>IFERROR(__xludf.DUMMYFUNCTION("""COMPUTED_VALUE"""),"First 3 authors: Michelle Ho is a researcher affiliated with Columbia University’s Columbia Water Center, a segment of the Columbia Climate School. She holds a PhD from the University of Newcastle in Infrastructure Engineering. Dr. Upmanu Lall is the Dire"&amp;"ctor of the Columbia Water Center and the Alan and Carol Silberstein Professor of Engineering. Maura Allaire is an Associate Professor at the University of California, Irvine. Her research focuses on developing solutions to environmental challenges.")</f>
        <v>First 3 authors: Michelle Ho is a researcher affiliated with Columbia University’s Columbia Water Center, a segment of the Columbia Climate School. She holds a PhD from the University of Newcastle in Infrastructure Engineering. Dr. Upmanu Lall is the Director of the Columbia Water Center and the Alan and Carol Silberstein Professor of Engineering. Maura Allaire is an Associate Professor at the University of California, Irvine. Her research focuses on developing solutions to environmental challenges.</v>
      </c>
      <c r="E172" s="1" t="str">
        <f>IFERROR(__xludf.DUMMYFUNCTION("""COMPUTED_VALUE"""),"AFFIRMATIVE")</f>
        <v>AFFIRMATIVE</v>
      </c>
      <c r="F172" s="1" t="str">
        <f>IFERROR(__xludf.DUMMYFUNCTION("""COMPUTED_VALUE"""),"Hydropower DA")</f>
        <v>Hydropower DA</v>
      </c>
      <c r="G172" s="1" t="str">
        <f>IFERROR(__xludf.DUMMYFUNCTION("""COMPUTED_VALUE"""),"This article provides some uniqueness arguments for the disadvantage, but largely offers affirmative defenses of the desirability of hydropower. It argues that dam removal and a transition away from hydro also comes with major impacts to food production a"&amp;"nd local groundwater.")</f>
        <v>This article provides some uniqueness arguments for the disadvantage, but largely offers affirmative defenses of the desirability of hydropower. It argues that dam removal and a transition away from hydro also comes with major impacts to food production and local groundwater.</v>
      </c>
      <c r="H172" s="1" t="str">
        <f>IFERROR(__xludf.DUMMYFUNCTION("""COMPUTED_VALUE"""),"Plain Language Summary Water storage and control have been key elements of a human strategy to overcome differences between water availability and water needs. The future promises changes to when and where water will be available and many regions in the U"&amp;"SA will likely see an increase in the imbalance between existing water storage and evolving demands for water. This indicates the need for more storage or new dams to meet human and ecological needs. The current trend for removal of old, hazardous or unpo"&amp;"pular dams now and into the future may impact regional groundwater outcomes, food and energy production, migration, and urban growth. We advocate for a formal analysis of the role dams play in the future of the USA’s water landscape. We also stress the ne"&amp;"ed for national water planning considerations to develop environmentally and economically sound strategies to integrate the management of surface and groundwater storage infrastructure in the USA.")</f>
        <v>Plain Language Summary Water storage and control have been key elements of a human strategy to overcome differences between water availability and water needs. The future promises changes to when and where water will be available and many regions in the USA will likely see an increase in the imbalance between existing water storage and evolving demands for water. This indicates the need for more storage or new dams to meet human and ecological needs. The current trend for removal of old, hazardous or unpopular dams now and into the future may impact regional groundwater outcomes, food and energy production, migration, and urban growth. We advocate for a formal analysis of the role dams play in the future of the USA’s water landscape. We also stress the need for national water planning considerations to develop environmentally and economically sound strategies to integrate the management of surface and groundwater storage infrastructure in the USA.</v>
      </c>
      <c r="I172" s="1" t="str">
        <f>IFERROR(__xludf.DUMMYFUNCTION("""COMPUTED_VALUE"""),"Cram WWU")</f>
        <v>Cram WWU</v>
      </c>
      <c r="J172" s="1" t="str">
        <f>IFERROR(__xludf.DUMMYFUNCTION("""COMPUTED_VALUE"""),"Wave 2 (due Nov. 8)")</f>
        <v>Wave 2 (due Nov. 8)</v>
      </c>
      <c r="K172" s="5" t="str">
        <f>IFERROR(__xludf.DUMMYFUNCTION("""COMPUTED_VALUE"""),"https://drive.google.com/open?id=15xSPUdWEsutw3B_hi6ScZ95FAa6NvEVn")</f>
        <v>https://drive.google.com/open?id=15xSPUdWEsutw3B_hi6ScZ95FAa6NvEVn</v>
      </c>
      <c r="L172" s="3" t="s">
        <v>2</v>
      </c>
    </row>
    <row r="173">
      <c r="A173" s="4">
        <f>IFERROR(__xludf.DUMMYFUNCTION("""COMPUTED_VALUE"""),45604.55861152778)</f>
        <v>45604.55861</v>
      </c>
      <c r="B173" s="1" t="str">
        <f>IFERROR(__xludf.DUMMYFUNCTION("""COMPUTED_VALUE"""),"traviscram@gmail.com")</f>
        <v>traviscram@gmail.com</v>
      </c>
      <c r="C173" s="1" t="str">
        <f>IFERROR(__xludf.DUMMYFUNCTION("""COMPUTED_VALUE"""),"Ocko, I. B., &amp; Hamburg, S. P. (2019). Climate impacts of hydropower: enormous differences among facilities and over time. Environmental Science &amp; Technology, 53(23), 14070-14082.")</f>
        <v>Ocko, I. B., &amp; Hamburg, S. P. (2019). Climate impacts of hydropower: enormous differences among facilities and over time. Environmental Science &amp; Technology, 53(23), 14070-14082.</v>
      </c>
      <c r="D173" s="1" t="str">
        <f>IFERROR(__xludf.DUMMYFUNCTION("""COMPUTED_VALUE"""),"Dr. Ilissa B. Ocko, senior climate scientist and Barbra Streisand Chair of Environmental Studies at Environmental Defense Fund. Stephen P. Hamburg is a researcher for the Environmental Defense Fund and holds a PhD and Masters in Forestry Service from Yale"&amp;" in Ecosystem Ecology.")</f>
        <v>Dr. Ilissa B. Ocko, senior climate scientist and Barbra Streisand Chair of Environmental Studies at Environmental Defense Fund. Stephen P. Hamburg is a researcher for the Environmental Defense Fund and holds a PhD and Masters in Forestry Service from Yale in Ecosystem Ecology.</v>
      </c>
      <c r="E173" s="1" t="str">
        <f>IFERROR(__xludf.DUMMYFUNCTION("""COMPUTED_VALUE"""),"NEGATIVE")</f>
        <v>NEGATIVE</v>
      </c>
      <c r="F173" s="1" t="str">
        <f>IFERROR(__xludf.DUMMYFUNCTION("""COMPUTED_VALUE"""),"Hydropower DA")</f>
        <v>Hydropower DA</v>
      </c>
      <c r="G173" s="1" t="str">
        <f>IFERROR(__xludf.DUMMYFUNCTION("""COMPUTED_VALUE"""),"This article argues that a comprehensive calculation of emissions throughout hydropower projects indicates that some facilities are as bad as fossil fuels. This establishes arguments for the disadvantage’s impact as well as  arguments for why the hydropow"&amp;"er shift would nullify gains to cut climate emissions.")</f>
        <v>This article argues that a comprehensive calculation of emissions throughout hydropower projects indicates that some facilities are as bad as fossil fuels. This establishes arguments for the disadvantage’s impact as well as  arguments for why the hydropower shift would nullify gains to cut climate emissions.</v>
      </c>
      <c r="H173" s="1" t="str">
        <f>IFERROR(__xludf.DUMMYFUNCTION("""COMPUTED_VALUE"""),"To stabilize the climate, we must rapidly displace fossil fuels with clean energy technologies. Currently hydropower dominates renewable electricity generation, accounting for twothirds globally, and is expected to grow by at least 45% by 2040. While it i"&amp;"s broadly assumed that hydropower facilities emit greenhouse gases on par with wind, there is mounting evidence that emissions can be considerably greater, with some facilities even on par with fossil fuels. However, analyses of climate impacts of hydropo"&amp;"wer plants have been simplistic, emphasizing the aggregated 100-year impacts from a one-year pulse of emissions. Such analyses mask the near-term impacts of methane emissions central to many current policy regimes, have tended to omit carbon dioxide emiss"&amp;"ions associated with initial plant development, and have not considered the impact of the accumulation of gases in the atmosphere over time. We utilize an analytic approach that addresses these issues. By analyzing climate impacts of sustained hydropower "&amp;"emissions over time, we find that there are enormous differences in climate impacts among facilities and over time. If minimizing climate impacts are not a priority in the design and construction of new hydropower facilities, it could lead to limited or e"&amp;"ven no climate benefits.")</f>
        <v>To stabilize the climate, we must rapidly displace fossil fuels with clean energy technologies. Currently hydropower dominates renewable electricity generation, accounting for twothirds globally, and is expected to grow by at least 45% by 2040. While it is broadly assumed that hydropower facilities emit greenhouse gases on par with wind, there is mounting evidence that emissions can be considerably greater, with some facilities even on par with fossil fuels. However, analyses of climate impacts of hydropower plants have been simplistic, emphasizing the aggregated 100-year impacts from a one-year pulse of emissions. Such analyses mask the near-term impacts of methane emissions central to many current policy regimes, have tended to omit carbon dioxide emissions associated with initial plant development, and have not considered the impact of the accumulation of gases in the atmosphere over time. We utilize an analytic approach that addresses these issues. By analyzing climate impacts of sustained hydropower emissions over time, we find that there are enormous differences in climate impacts among facilities and over time. If minimizing climate impacts are not a priority in the design and construction of new hydropower facilities, it could lead to limited or even no climate benefits.</v>
      </c>
      <c r="I173" s="1" t="str">
        <f>IFERROR(__xludf.DUMMYFUNCTION("""COMPUTED_VALUE"""),"Cram WWU")</f>
        <v>Cram WWU</v>
      </c>
      <c r="J173" s="1" t="str">
        <f>IFERROR(__xludf.DUMMYFUNCTION("""COMPUTED_VALUE"""),"Wave 2 (due Nov. 8)")</f>
        <v>Wave 2 (due Nov. 8)</v>
      </c>
      <c r="K173" s="5" t="str">
        <f>IFERROR(__xludf.DUMMYFUNCTION("""COMPUTED_VALUE"""),"https://drive.google.com/open?id=17_Su6aYUi3yTZi6U6nXBWwpmbKpfjg_v")</f>
        <v>https://drive.google.com/open?id=17_Su6aYUi3yTZi6U6nXBWwpmbKpfjg_v</v>
      </c>
      <c r="L173" s="3" t="s">
        <v>2</v>
      </c>
    </row>
    <row r="174">
      <c r="A174" s="4">
        <f>IFERROR(__xludf.DUMMYFUNCTION("""COMPUTED_VALUE"""),45604.55984350694)</f>
        <v>45604.55984</v>
      </c>
      <c r="B174" s="1" t="str">
        <f>IFERROR(__xludf.DUMMYFUNCTION("""COMPUTED_VALUE"""),"traviscram@gmail.com")</f>
        <v>traviscram@gmail.com</v>
      </c>
      <c r="C174" s="1" t="str">
        <f>IFERROR(__xludf.DUMMYFUNCTION("""COMPUTED_VALUE"""),"Farnsworth, A., &amp; Gençer, E. (2023). Accurately Modeling Hydropower in the USA. In Computer Aided Chemical Engineering (Vol. 52, pp. 2821-2826). Elsevier.")</f>
        <v>Farnsworth, A., &amp; Gençer, E. (2023). Accurately Modeling Hydropower in the USA. In Computer Aided Chemical Engineering (Vol. 52, pp. 2821-2826). Elsevier.</v>
      </c>
      <c r="D174" s="1" t="str">
        <f>IFERROR(__xludf.DUMMYFUNCTION("""COMPUTED_VALUE"""),"Amanda Farnsworth is Senior Energy Analyst for PowerIntel and has a PhD in Decarbonized Energy Production from MIT. Emre Gençer is a principal research scientist at the MIT Energy Initiative. The central theme of his research is to identify optimal utiliz"&amp;"ation of resources for the evolving energy system facing the dual challenge of increasing demand while profoundly reducing its environmental footprint.")</f>
        <v>Amanda Farnsworth is Senior Energy Analyst for PowerIntel and has a PhD in Decarbonized Energy Production from MIT. Emre Gençer is a principal research scientist at the MIT Energy Initiative. The central theme of his research is to identify optimal utilization of resources for the evolving energy system facing the dual challenge of increasing demand while profoundly reducing its environmental footprint.</v>
      </c>
      <c r="E174" s="1" t="str">
        <f>IFERROR(__xludf.DUMMYFUNCTION("""COMPUTED_VALUE"""),"NEGATIVE")</f>
        <v>NEGATIVE</v>
      </c>
      <c r="F174" s="1" t="str">
        <f>IFERROR(__xludf.DUMMYFUNCTION("""COMPUTED_VALUE"""),"Hydropower DA")</f>
        <v>Hydropower DA</v>
      </c>
      <c r="G174" s="1" t="str">
        <f>IFERROR(__xludf.DUMMYFUNCTION("""COMPUTED_VALUE"""),"This study offers more link depth and internal link analysis, offering modeling that hydro demand in the United States grows in relationship to the stringency of emissions caps. Also analyzed are the emissions associated with hydro power.")</f>
        <v>This study offers more link depth and internal link analysis, offering modeling that hydro demand in the United States grows in relationship to the stringency of emissions caps. Also analyzed are the emissions associated with hydro power.</v>
      </c>
      <c r="H174" s="1" t="str">
        <f>IFERROR(__xludf.DUMMYFUNCTION("""COMPUTED_VALUE"""),"This study marks the first comprehensive evaluation of hydropower across the US. Both installation limits and capacity factor profiles were extracted and processed from a variety of sources and incorporated into a capacity expansion model. Life-cycle asse"&amp;"ssment strategies were used to fairly assesses the three types of hydropower: conventional, run-of-river, and pumped storage. When only operational emissions are considered, 30-63% of system emissions go unaccounted for. As emissions caps become stricter,"&amp;" hydropower is relied upon more heavily. At a 50 gCO2-eq/kWh emissions limit, seven out of nine regions analyzed reach their installation limit in at least one hydropower technology type. Lastly, a carbon neutral power sector requires carbon negative tech"&amp;"nologies.")</f>
        <v>This study marks the first comprehensive evaluation of hydropower across the US. Both installation limits and capacity factor profiles were extracted and processed from a variety of sources and incorporated into a capacity expansion model. Life-cycle assessment strategies were used to fairly assesses the three types of hydropower: conventional, run-of-river, and pumped storage. When only operational emissions are considered, 30-63% of system emissions go unaccounted for. As emissions caps become stricter, hydropower is relied upon more heavily. At a 50 gCO2-eq/kWh emissions limit, seven out of nine regions analyzed reach their installation limit in at least one hydropower technology type. Lastly, a carbon neutral power sector requires carbon negative technologies.</v>
      </c>
      <c r="I174" s="1" t="str">
        <f>IFERROR(__xludf.DUMMYFUNCTION("""COMPUTED_VALUE"""),"Cram WWU")</f>
        <v>Cram WWU</v>
      </c>
      <c r="J174" s="1" t="str">
        <f>IFERROR(__xludf.DUMMYFUNCTION("""COMPUTED_VALUE"""),"Wave 2 (due Nov. 8)")</f>
        <v>Wave 2 (due Nov. 8)</v>
      </c>
      <c r="K174" s="5" t="str">
        <f>IFERROR(__xludf.DUMMYFUNCTION("""COMPUTED_VALUE"""),"https://drive.google.com/open?id=1U9MNjOwXPUaW846Nm-RJmRNxYTzMOnQG")</f>
        <v>https://drive.google.com/open?id=1U9MNjOwXPUaW846Nm-RJmRNxYTzMOnQG</v>
      </c>
      <c r="L174" s="3" t="s">
        <v>2</v>
      </c>
    </row>
    <row r="175">
      <c r="A175" s="4">
        <f>IFERROR(__xludf.DUMMYFUNCTION("""COMPUTED_VALUE"""),45604.56060537037)</f>
        <v>45604.56061</v>
      </c>
      <c r="B175" s="1" t="str">
        <f>IFERROR(__xludf.DUMMYFUNCTION("""COMPUTED_VALUE"""),"traviscram@gmail.com")</f>
        <v>traviscram@gmail.com</v>
      </c>
      <c r="C175" s="1" t="str">
        <f>IFERROR(__xludf.DUMMYFUNCTION("""COMPUTED_VALUE"""),"Whyte, K. (2020). Too late for indigenous climate justice: Ecological and relational tipping points. Wiley Interdisciplinary Reviews: Climate Change, 11(1), e603.")</f>
        <v>Whyte, K. (2020). Too late for indigenous climate justice: Ecological and relational tipping points. Wiley Interdisciplinary Reviews: Climate Change, 11(1), e603.</v>
      </c>
      <c r="D175" s="1" t="str">
        <f>IFERROR(__xludf.DUMMYFUNCTION("""COMPUTED_VALUE"""),"Kyle Whyte is a faculty member at the University of Michigan where he is George Willis Pack Professor in the School for Environment and Sustainability, University Diversity and Social Transformation Professor, and Professor of Philosophy in the College of"&amp;" Literature, Science, and the Arts. Kyle teaches in the SEAS environmental justice specialization. He is founding Faculty Director of the Tishman Center for Social Justice and the Environment, Principal Investigator of the Energy Equity Project, Faculty A"&amp;"ssociate of Native American Studies, and Senior Fellow in the Michigan Society of Fellows. His research addresses environmental justice, focusing on moral and political issues concerning climate policy and Indigenous peoples, the ethics of cooperative rel"&amp;"ationships between Indigenous peoples and science organizations, and problems of Indigenous justice in public and academic discussions of food sovereignty, environmental justice, and the anthropocene. He is an enrolled member of the Citizen Potawatomi Nat"&amp;"ion.")</f>
        <v>Kyle Whyte is a faculty member at the University of Michigan where he is George Willis Pack Professor in the School for Environment and Sustainability, University Diversity and Social Transformation Professor, and Professor of Philosophy in the College of Literature, Science, and the Arts. Kyle teaches in the SEAS environmental justice specialization. He is founding Faculty Director of the Tishman Center for Social Justice and the Environment, Principal Investigator of the Energy Equity Project, Faculty Associate of Native American Studies, and Senior Fellow in the Michigan Society of Fellows. His research addresses environmental justice, focusing on moral and political issues concerning climate policy and Indigenous peoples, the ethics of cooperative relationships between Indigenous peoples and science organizations, and problems of Indigenous justice in public and academic discussions of food sovereignty, environmental justice, and the anthropocene. He is an enrolled member of the Citizen Potawatomi Nation.</v>
      </c>
      <c r="E175" s="1" t="str">
        <f>IFERROR(__xludf.DUMMYFUNCTION("""COMPUTED_VALUE"""),"MIXED")</f>
        <v>MIXED</v>
      </c>
      <c r="F175" s="1" t="str">
        <f>IFERROR(__xludf.DUMMYFUNCTION("""COMPUTED_VALUE"""),"Settler Colonialism")</f>
        <v>Settler Colonialism</v>
      </c>
      <c r="G175" s="1" t="str">
        <f>IFERROR(__xludf.DUMMYFUNCTION("""COMPUTED_VALUE"""),"This article adds several dimensions to the settler colonialism argument. For the negative, it establishes topic-relevant framing arguments, sequencing/priority arguments, and several link arguments specific to energy governance. For the affirmative, it o"&amp;"ffers impact calculus and and inevitably arguments about the K’s priority of addressing colonialism prior to climate mitigation.")</f>
        <v>This article adds several dimensions to the settler colonialism argument. For the negative, it establishes topic-relevant framing arguments, sequencing/priority arguments, and several link arguments specific to energy governance. For the affirmative, it offers impact calculus and and inevitably arguments about the K’s priority of addressing colonialism prior to climate mitigation.</v>
      </c>
      <c r="H175" s="1" t="str">
        <f>IFERROR(__xludf.DUMMYFUNCTION("""COMPUTED_VALUE"""),"It may be too late to achieve environmental justice for some indigenous peoples, and other groups, in terms of avoiding dangerous climate change. People in the indigenous climate justice movement agree resolutely on the urgency of action to stop dangerous"&amp;" climate change. However, the qualities of relationships connecting indigenous peoples with other societies' governments, nongovernmental organizations, and corporations are not conducive to coordinated action that would avoid further injustice against in"&amp;"digenous peoples in the process of responding to climate change. The required qualities include, among others, consent, trust, accountability, and reciprocity. Indigenous traditions of climate change view the very topic of climate change as connected to t"&amp;"hese qualities, which are sometimes referred to as kin relationships. The entwinement of colonialism, capitalism, and industrialization failed to affirm or establish these qualities or kinship relationships across societies. While qualities like consent o"&amp;"r reciprocity may be critical for taking coordinated action urgently and justly, they require a long time to establish or repair. A relational tipping point, in a certain respect, has already been crossed, before the ecological tipping point. The time it "&amp;"takes to address the passage of this relational tipping point may be too slow to generate the coordinated action to halt certain dangers related to climate change. While no possibilities for better futures should be left unconsidered, it's critical to cen"&amp;"ter environmental justice in any analysis of whether it's too late to stop dangerous climate change. ")</f>
        <v>It may be too late to achieve environmental justice for some indigenous peoples, and other groups, in terms of avoiding dangerous climate change. People in the indigenous climate justice movement agree resolutely on the urgency of action to stop dangerous climate change. However, the qualities of relationships connecting indigenous peoples with other societies' governments, nongovernmental organizations, and corporations are not conducive to coordinated action that would avoid further injustice against indigenous peoples in the process of responding to climate change. The required qualities include, among others, consent, trust, accountability, and reciprocity. Indigenous traditions of climate change view the very topic of climate change as connected to these qualities, which are sometimes referred to as kin relationships. The entwinement of colonialism, capitalism, and industrialization failed to affirm or establish these qualities or kinship relationships across societies. While qualities like consent or reciprocity may be critical for taking coordinated action urgently and justly, they require a long time to establish or repair. A relational tipping point, in a certain respect, has already been crossed, before the ecological tipping point. The time it takes to address the passage of this relational tipping point may be too slow to generate the coordinated action to halt certain dangers related to climate change. While no possibilities for better futures should be left unconsidered, it's critical to center environmental justice in any analysis of whether it's too late to stop dangerous climate change. </v>
      </c>
      <c r="I175" s="1" t="str">
        <f>IFERROR(__xludf.DUMMYFUNCTION("""COMPUTED_VALUE"""),"Cram WWU")</f>
        <v>Cram WWU</v>
      </c>
      <c r="J175" s="1" t="str">
        <f>IFERROR(__xludf.DUMMYFUNCTION("""COMPUTED_VALUE"""),"Wave 2 (due Nov. 8)")</f>
        <v>Wave 2 (due Nov. 8)</v>
      </c>
      <c r="K175" s="5" t="str">
        <f>IFERROR(__xludf.DUMMYFUNCTION("""COMPUTED_VALUE"""),"https://drive.google.com/open?id=14U0PkiLCA6c736YwznNxEYmKTPcy-YDs")</f>
        <v>https://drive.google.com/open?id=14U0PkiLCA6c736YwznNxEYmKTPcy-YDs</v>
      </c>
      <c r="L175" s="3" t="s">
        <v>1</v>
      </c>
    </row>
    <row r="176">
      <c r="A176" s="4">
        <f>IFERROR(__xludf.DUMMYFUNCTION("""COMPUTED_VALUE"""),45604.56148849537)</f>
        <v>45604.56149</v>
      </c>
      <c r="B176" s="1" t="str">
        <f>IFERROR(__xludf.DUMMYFUNCTION("""COMPUTED_VALUE"""),"traviscram@gmail.com")</f>
        <v>traviscram@gmail.com</v>
      </c>
      <c r="C176" s="1" t="str">
        <f>IFERROR(__xludf.DUMMYFUNCTION("""COMPUTED_VALUE"""),"Caney, S. (2015). Two kinds of climate justice: avoiding harm and sharing burdens. Political Theory Without Borders, 18-45.")</f>
        <v>Caney, S. (2015). Two kinds of climate justice: avoiding harm and sharing burdens. Political Theory Without Borders, 18-45.</v>
      </c>
      <c r="D176" s="1" t="str">
        <f>IFERROR(__xludf.DUMMYFUNCTION("""COMPUTED_VALUE"""),"Prof. Simon Caney is a Professor in Political Theory at the University of Oxford, and a Fellow and Tutor at Magdalen College and works on issues in contemporary political philosophy. He recently worked on the ethical issues surrounding global poverty, ine"&amp;"quality, climate change, our obligations to future generations and is currently writing two books - one Global Justice and Climate Change (co-authored with Derek Bell) and the other Cosmopolitanism (both under contract to Oxford University Press).")</f>
        <v>Prof. Simon Caney is a Professor in Political Theory at the University of Oxford, and a Fellow and Tutor at Magdalen College and works on issues in contemporary political philosophy. He recently worked on the ethical issues surrounding global poverty, inequality, climate change, our obligations to future generations and is currently writing two books - one Global Justice and Climate Change (co-authored with Derek Bell) and the other Cosmopolitanism (both under contract to Oxford University Press).</v>
      </c>
      <c r="E176" s="1" t="str">
        <f>IFERROR(__xludf.DUMMYFUNCTION("""COMPUTED_VALUE"""),"AFFIRMATIVE")</f>
        <v>AFFIRMATIVE</v>
      </c>
      <c r="F176" s="1" t="str">
        <f>IFERROR(__xludf.DUMMYFUNCTION("""COMPUTED_VALUE"""),"Settler Colonialism")</f>
        <v>Settler Colonialism</v>
      </c>
      <c r="G176" s="1" t="str">
        <f>IFERROR(__xludf.DUMMYFUNCTION("""COMPUTED_VALUE"""),"This article provides affirmative framing and impact calculus against kritiks, arguing that harm mitigation in the face of existential catastrophe must be an element of one’s calculus.")</f>
        <v>This article provides affirmative framing and impact calculus against kritiks, arguing that harm mitigation in the face of existential catastrophe must be an element of one’s calculus.</v>
      </c>
      <c r="H176" s="1" t="str">
        <f>IFERROR(__xludf.DUMMYFUNCTION("""COMPUTED_VALUE"""),"Drawn from intro in lieu of abstract: Let us return now to the case of climate change. As I have noted above, much of the ethical discussion of climate change has focused on what I have termed Burden-Sharing Justice. I think that such discussions are cruc"&amp;"ial. Nothing that follows challenges the need for such analyses. However, they are, I maintain, incomplete: we also need to analyse matters from the point of Harm Avoidance Justice. Climate change poses serious existential threats to many people’s lives a"&amp;"nd to the very existence of some communities. Its effects will be extremely harmful, possibly catastrophic, for millions of people. Given this, I think we have reason to focus on what would most effectively prevent the onset of dangerous climate change, a"&amp;"nd then consider what responsibilities would follow from that.8 My aim in this paper, then, is to develop a normative account of climate change that takes as its starting point the assumption that it is of paramount importance.")</f>
        <v>Drawn from intro in lieu of abstract: Let us return now to the case of climate change. As I have noted above, much of the ethical discussion of climate change has focused on what I have termed Burden-Sharing Justice. I think that such discussions are crucial. Nothing that follows challenges the need for such analyses. However, they are, I maintain, incomplete: we also need to analyse matters from the point of Harm Avoidance Justice. Climate change poses serious existential threats to many people’s lives and to the very existence of some communities. Its effects will be extremely harmful, possibly catastrophic, for millions of people. Given this, I think we have reason to focus on what would most effectively prevent the onset of dangerous climate change, and then consider what responsibilities would follow from that.8 My aim in this paper, then, is to develop a normative account of climate change that takes as its starting point the assumption that it is of paramount importance.</v>
      </c>
      <c r="I176" s="1" t="str">
        <f>IFERROR(__xludf.DUMMYFUNCTION("""COMPUTED_VALUE"""),"Cram WWU")</f>
        <v>Cram WWU</v>
      </c>
      <c r="J176" s="1" t="str">
        <f>IFERROR(__xludf.DUMMYFUNCTION("""COMPUTED_VALUE"""),"Wave 2 (due Nov. 8)")</f>
        <v>Wave 2 (due Nov. 8)</v>
      </c>
      <c r="K176" s="5" t="str">
        <f>IFERROR(__xludf.DUMMYFUNCTION("""COMPUTED_VALUE"""),"https://drive.google.com/open?id=1WTMl3Vo1UIwu2p-ej_Cio-8qaOO2F9ht")</f>
        <v>https://drive.google.com/open?id=1WTMl3Vo1UIwu2p-ej_Cio-8qaOO2F9ht</v>
      </c>
      <c r="L176" s="3" t="s">
        <v>2</v>
      </c>
    </row>
    <row r="177">
      <c r="A177" s="4">
        <f>IFERROR(__xludf.DUMMYFUNCTION("""COMPUTED_VALUE"""),45604.56218572917)</f>
        <v>45604.56219</v>
      </c>
      <c r="B177" s="1" t="str">
        <f>IFERROR(__xludf.DUMMYFUNCTION("""COMPUTED_VALUE"""),"traviscram@gmail.com")</f>
        <v>traviscram@gmail.com</v>
      </c>
      <c r="C177" s="1" t="str">
        <f>IFERROR(__xludf.DUMMYFUNCTION("""COMPUTED_VALUE"""),"Jacroux, E., &amp; Freshour, C. (2024). Struggles over solar in the United States: Oppositional coalitions and the limits of territorial resentment. Energy Research &amp; Social Science, 113, 103532.")</f>
        <v>Jacroux, E., &amp; Freshour, C. (2024). Struggles over solar in the United States: Oppositional coalitions and the limits of territorial resentment. Energy Research &amp; Social Science, 113, 103532.</v>
      </c>
      <c r="D177" s="1" t="str">
        <f>IFERROR(__xludf.DUMMYFUNCTION("""COMPUTED_VALUE"""),"Eva Jacroux is an independent researcher and data analyst based in Washington state. Her work in geography focuses on the food-energy-water nexus in the Columbia River area.  Dr. Carrie Freshour is an un-disciplined human geographer and an Assistant Profe"&amp;"ssor in the Department of Geosciences at Georgia State University.")</f>
        <v>Eva Jacroux is an independent researcher and data analyst based in Washington state. Her work in geography focuses on the food-energy-water nexus in the Columbia River area.  Dr. Carrie Freshour is an un-disciplined human geographer and an Assistant Professor in the Department of Geosciences at Georgia State University.</v>
      </c>
      <c r="E177" s="1" t="str">
        <f>IFERROR(__xludf.DUMMYFUNCTION("""COMPUTED_VALUE"""),"MIXED")</f>
        <v>MIXED</v>
      </c>
      <c r="F177" s="1" t="str">
        <f>IFERROR(__xludf.DUMMYFUNCTION("""COMPUTED_VALUE"""),"Settler Colonialism")</f>
        <v>Settler Colonialism</v>
      </c>
      <c r="G177" s="1" t="str">
        <f>IFERROR(__xludf.DUMMYFUNCTION("""COMPUTED_VALUE"""),"This is a mixed article that adds important elements for settler colonialism. There are general renewable/decarbonization links, as well as more topic-specific discussions of colonialism. There is also an extensive exploration of the functioning of settle"&amp;"r-native coalitions, especially in the context of energy development. These coalition arguments are disadvantages to the alternative, possible disadvantages to a permutation, and generally a deeper discussion of an alternative than exists in the library.")</f>
        <v>This is a mixed article that adds important elements for settler colonialism. There are general renewable/decarbonization links, as well as more topic-specific discussions of colonialism. There is also an extensive exploration of the functioning of settler-native coalitions, especially in the context of energy development. These coalition arguments are disadvantages to the alternative, possible disadvantages to a permutation, and generally a deeper discussion of an alternative than exists in the library.</v>
      </c>
      <c r="H177" s="1" t="str">
        <f>IFERROR(__xludf.DUMMYFUNCTION("""COMPUTED_VALUE"""),"With the expansion of renewable infrastructure, struggles over land use have raised concerns about the uneven impacts of utility solar on rural, energy producing communities. Engaging the framework of colonial racial capitalism, we contribute to energy sc"&amp;"holarship focused on the social and cultural impacts of decarbonization through an ethnographic and archival study of organized opposition emerging in Central Washington. In 2020, residents of Goldendale, WA mobilized to create CEASE–Citizens Educated Aga"&amp;"inst Solar Energy–working strategically with members of the Yakama Nation, to challenge the siting process. We ask the following questions: What motivates organized opposition to the solar siting process? What are the opportunities and constraints to buil"&amp;"ding coalitions across settler and Indigenous rural geographies? What can these coalitions tell us about the future of energy justice? In our case study, we found CEASE, a rural populist leaning grassroots organization, to briefly join efforts with the Ya"&amp;"kama Nation, viewing the state in misalignment with rural identities and livelihoods. Yet, opposition forming through a focus on historically and geographically specific understandings of private property and the wage relation complicate shared visions fo"&amp;"r energy justice. Here, ideas and feelings around property, work, and futures remain contradictory, incomplete, and dynamic, meaning a singular settler vision does not need to be the only one charting energy futures.")</f>
        <v>With the expansion of renewable infrastructure, struggles over land use have raised concerns about the uneven impacts of utility solar on rural, energy producing communities. Engaging the framework of colonial racial capitalism, we contribute to energy scholarship focused on the social and cultural impacts of decarbonization through an ethnographic and archival study of organized opposition emerging in Central Washington. In 2020, residents of Goldendale, WA mobilized to create CEASE–Citizens Educated Against Solar Energy–working strategically with members of the Yakama Nation, to challenge the siting process. We ask the following questions: What motivates organized opposition to the solar siting process? What are the opportunities and constraints to building coalitions across settler and Indigenous rural geographies? What can these coalitions tell us about the future of energy justice? In our case study, we found CEASE, a rural populist leaning grassroots organization, to briefly join efforts with the Yakama Nation, viewing the state in misalignment with rural identities and livelihoods. Yet, opposition forming through a focus on historically and geographically specific understandings of private property and the wage relation complicate shared visions for energy justice. Here, ideas and feelings around property, work, and futures remain contradictory, incomplete, and dynamic, meaning a singular settler vision does not need to be the only one charting energy futures.</v>
      </c>
      <c r="I177" s="1" t="str">
        <f>IFERROR(__xludf.DUMMYFUNCTION("""COMPUTED_VALUE"""),"Cram WWU")</f>
        <v>Cram WWU</v>
      </c>
      <c r="J177" s="1" t="str">
        <f>IFERROR(__xludf.DUMMYFUNCTION("""COMPUTED_VALUE"""),"Wave 2 (due Nov. 8)")</f>
        <v>Wave 2 (due Nov. 8)</v>
      </c>
      <c r="K177" s="5" t="str">
        <f>IFERROR(__xludf.DUMMYFUNCTION("""COMPUTED_VALUE"""),"https://drive.google.com/open?id=1XkzKKmXG9QAxJ2ZI6BaAmz33YDUPd7SN")</f>
        <v>https://drive.google.com/open?id=1XkzKKmXG9QAxJ2ZI6BaAmz33YDUPd7SN</v>
      </c>
      <c r="L177" s="3" t="s">
        <v>2</v>
      </c>
    </row>
    <row r="178">
      <c r="A178" s="4">
        <f>IFERROR(__xludf.DUMMYFUNCTION("""COMPUTED_VALUE"""),45604.63117445602)</f>
        <v>45604.63117</v>
      </c>
      <c r="B178" s="1" t="str">
        <f>IFERROR(__xludf.DUMMYFUNCTION("""COMPUTED_VALUE"""),"saurphoebe@gmail.com")</f>
        <v>saurphoebe@gmail.com</v>
      </c>
      <c r="C178" s="1" t="str">
        <f>IFERROR(__xludf.DUMMYFUNCTION("""COMPUTED_VALUE"""),"Belfiori, M. E. (2021). Fossil fuel subsidies, the green paradox and the fiscal paradox. Economics of Energy &amp; Environmental Policy, 10(1), 183-193.")</f>
        <v>Belfiori, M. E. (2021). Fossil fuel subsidies, the green paradox and the fiscal paradox. Economics of Energy &amp; Environmental Policy, 10(1), 183-193.</v>
      </c>
      <c r="D178" s="1" t="str">
        <f>IFERROR(__xludf.DUMMYFUNCTION("""COMPUTED_VALUE"""),"Elisa is a Macroeconomist with interest in Climate Economics and Public Finance. She holds a Ph.D. in Economics from the University of Minnesota. Elisa is a full-time professor at Universidad Torcuato Di Tella.")</f>
        <v>Elisa is a Macroeconomist with interest in Climate Economics and Public Finance. She holds a Ph.D. in Economics from the University of Minnesota. Elisa is a full-time professor at Universidad Torcuato Di Tella.</v>
      </c>
      <c r="E178" s="1" t="str">
        <f>IFERROR(__xludf.DUMMYFUNCTION("""COMPUTED_VALUE"""),"NEGATIVE")</f>
        <v>NEGATIVE</v>
      </c>
      <c r="F178" s="1" t="str">
        <f>IFERROR(__xludf.DUMMYFUNCTION("""COMPUTED_VALUE"""),"Remove Fossil Fuel Subsidies")</f>
        <v>Remove Fossil Fuel Subsidies</v>
      </c>
      <c r="G178" s="1" t="str">
        <f>IFERROR(__xludf.DUMMYFUNCTION("""COMPUTED_VALUE"""),"Removal of fossil fuel subsidies will increase carbon emissions in the short term, as well as causing immediate economic issues. Challenge to ""short term benefits"" argument.")</f>
        <v>Removal of fossil fuel subsidies will increase carbon emissions in the short term, as well as causing immediate economic issues. Challenge to "short term benefits" argument.</v>
      </c>
      <c r="H178" s="1" t="str">
        <f>IFERROR(__xludf.DUMMYFUNCTION("""COMPUTED_VALUE"""),"Fossil fuel subsidies amounted to about 0.4% of global GDP in 2015, and there is an
active call worldwide for eliminating them. The main argument in favor of removing
subsidies is that it will lead to a reduction in global carbon emissions and a decrease "&amp;"in
fiscal deficits. This paper shows that there are also some overlooked adverse effects of
eliminating the current fossil fuel subsidies. A version of the “Green Paradox” arises
when oil firms learn that fossil fuel subsidies will be removed. In fear tha"&amp;"t their assets
will lose value, firms have incentives to accelerate extraction before subsidies are eliminated. Thus, carbon emissions increase in the short run and the climate externality
worsens. Likewise, a “Fiscal paradox” arises because government ou"&amp;"tlays rise in the
short run when more extraction occurs. I show that these intertemporal effects reduce
the relative benefits from eliminating the existing subsidies and may actually make a
fossil fuel subsidy reform counterproductive.")</f>
        <v>Fossil fuel subsidies amounted to about 0.4% of global GDP in 2015, and there is an
active call worldwide for eliminating them. The main argument in favor of removing
subsidies is that it will lead to a reduction in global carbon emissions and a decrease in
fiscal deficits. This paper shows that there are also some overlooked adverse effects of
eliminating the current fossil fuel subsidies. A version of the “Green Paradox” arises
when oil firms learn that fossil fuel subsidies will be removed. In fear that their assets
will lose value, firms have incentives to accelerate extraction before subsidies are eliminated. Thus, carbon emissions increase in the short run and the climate externality
worsens. Likewise, a “Fiscal paradox” arises because government outlays rise in the
short run when more extraction occurs. I show that these intertemporal effects reduce
the relative benefits from eliminating the existing subsidies and may actually make a
fossil fuel subsidy reform counterproductive.</v>
      </c>
      <c r="I178" s="1" t="str">
        <f>IFERROR(__xludf.DUMMYFUNCTION("""COMPUTED_VALUE"""),"Saur WWU")</f>
        <v>Saur WWU</v>
      </c>
      <c r="J178" s="1" t="str">
        <f>IFERROR(__xludf.DUMMYFUNCTION("""COMPUTED_VALUE"""),"Wave 2 (due Nov. 8)")</f>
        <v>Wave 2 (due Nov. 8)</v>
      </c>
      <c r="K178" s="5" t="str">
        <f>IFERROR(__xludf.DUMMYFUNCTION("""COMPUTED_VALUE"""),"https://drive.google.com/open?id=1At1Hb4rNGdvJ6rS_HEVvJhY01yWykmwF")</f>
        <v>https://drive.google.com/open?id=1At1Hb4rNGdvJ6rS_HEVvJhY01yWykmwF</v>
      </c>
      <c r="L178" s="3" t="s">
        <v>1</v>
      </c>
    </row>
    <row r="179">
      <c r="A179" s="4">
        <f>IFERROR(__xludf.DUMMYFUNCTION("""COMPUTED_VALUE"""),45604.70819560185)</f>
        <v>45604.7082</v>
      </c>
      <c r="B179" s="1" t="str">
        <f>IFERROR(__xludf.DUMMYFUNCTION("""COMPUTED_VALUE"""),"alexmooney256@gmail.com")</f>
        <v>alexmooney256@gmail.com</v>
      </c>
      <c r="C179" s="1" t="str">
        <f>IFERROR(__xludf.DUMMYFUNCTION("""COMPUTED_VALUE"""),"Brauers, H. (2022). Natural gas as a barrier to sustainability transitions? A systematic mapping of the risks and challenges. Energy Research &amp; Social Science Volume 89, July 2022, 102538")</f>
        <v>Brauers, H. (2022). Natural gas as a barrier to sustainability transitions? A systematic mapping of the risks and challenges. Energy Research &amp; Social Science Volume 89, July 2022, 102538</v>
      </c>
      <c r="D179" s="1" t="str">
        <f>IFERROR(__xludf.DUMMYFUNCTION("""COMPUTED_VALUE"""),"Europa-Universität Flensburg, Economics of Sustainable Energy System Transition, Munketoft 3, 24937 Flensburg, Germany")</f>
        <v>Europa-Universität Flensburg, Economics of Sustainable Energy System Transition, Munketoft 3, 24937 Flensburg, Germany</v>
      </c>
      <c r="E179" s="1" t="str">
        <f>IFERROR(__xludf.DUMMYFUNCTION("""COMPUTED_VALUE"""),"AFFIRMATIVE")</f>
        <v>AFFIRMATIVE</v>
      </c>
      <c r="F179" s="1" t="str">
        <f>IFERROR(__xludf.DUMMYFUNCTION("""COMPUTED_VALUE"""),"Natural Gas DA")</f>
        <v>Natural Gas DA</v>
      </c>
      <c r="G179" s="1" t="str">
        <f>IFERROR(__xludf.DUMMYFUNCTION("""COMPUTED_VALUE"""),"Answers natural gas DA by doing a meta analysis of the negative effects of natural gas and refutes it being a transition fuel")</f>
        <v>Answers natural gas DA by doing a meta analysis of the negative effects of natural gas and refutes it being a transition fuel</v>
      </c>
      <c r="H179" s="1" t="str">
        <f>IFERROR(__xludf.DUMMYFUNCTION("""COMPUTED_VALUE"""),"Research has shown that natural gas (NG) has a significant negative impact on the climate. The role of NG in future global energy systems is highly controversial. Due to the greenhouse gas emissions associated with NG and the potential delay of low-carbon"&amp;" technologies, this energy source could represent a barrier rather than a solution to successful sustainability transitions. However, it appears that very little existing research covers NG-related risks for energy transitions. This paper covers a systema"&amp;"tic mapping of the academic sustainability transitions literature, compiling existing evidence on the potential risks and adverse effects of using NG. Methane emissions in particular pose large climate risks, while the main barriers to sustainability tran"&amp;"sitions caused by NG include a crowding-out effect of low-carbon technologies, stranded assets, infrastructure lock-in, and behavioural lock-ins. The resulting political challenges include achieving climate mitigation targets, dealing with opposition to N"&amp;"G reduction, and addressing discursive lock-ins. The studies cited here highlight the fact that the potential of NG to reduce greenhouse gases is small, and that climate targets cannot be achieved via NG use in the long term.")</f>
        <v>Research has shown that natural gas (NG) has a significant negative impact on the climate. The role of NG in future global energy systems is highly controversial. Due to the greenhouse gas emissions associated with NG and the potential delay of low-carbon technologies, this energy source could represent a barrier rather than a solution to successful sustainability transitions. However, it appears that very little existing research covers NG-related risks for energy transitions. This paper covers a systematic mapping of the academic sustainability transitions literature, compiling existing evidence on the potential risks and adverse effects of using NG. Methane emissions in particular pose large climate risks, while the main barriers to sustainability transitions caused by NG include a crowding-out effect of low-carbon technologies, stranded assets, infrastructure lock-in, and behavioural lock-ins. The resulting political challenges include achieving climate mitigation targets, dealing with opposition to NG reduction, and addressing discursive lock-ins. The studies cited here highlight the fact that the potential of NG to reduce greenhouse gases is small, and that climate targets cannot be achieved via NG use in the long term.</v>
      </c>
      <c r="I179" s="1" t="str">
        <f>IFERROR(__xludf.DUMMYFUNCTION("""COMPUTED_VALUE"""),"Mooney Hillsdale")</f>
        <v>Mooney Hillsdale</v>
      </c>
      <c r="J179" s="1" t="str">
        <f>IFERROR(__xludf.DUMMYFUNCTION("""COMPUTED_VALUE"""),"Wave 2 (due Nov. 8)")</f>
        <v>Wave 2 (due Nov. 8)</v>
      </c>
      <c r="K179" s="5" t="str">
        <f>IFERROR(__xludf.DUMMYFUNCTION("""COMPUTED_VALUE"""),"https://drive.google.com/open?id=1FpDQYIXc2EV_YURui96QM7NL3nFpCyL3")</f>
        <v>https://drive.google.com/open?id=1FpDQYIXc2EV_YURui96QM7NL3nFpCyL3</v>
      </c>
      <c r="L179" s="3" t="s">
        <v>1</v>
      </c>
    </row>
    <row r="180">
      <c r="A180" s="4">
        <f>IFERROR(__xludf.DUMMYFUNCTION("""COMPUTED_VALUE"""),45604.71491248843)</f>
        <v>45604.71491</v>
      </c>
      <c r="B180" s="1" t="str">
        <f>IFERROR(__xludf.DUMMYFUNCTION("""COMPUTED_VALUE"""),"tzabolio@gmail.com")</f>
        <v>tzabolio@gmail.com</v>
      </c>
      <c r="C180" s="1" t="str">
        <f>IFERROR(__xludf.DUMMYFUNCTION("""COMPUTED_VALUE"""),"Denning, Adam, and Tony Seba. “Rethinking Jevons’ Paradox: The True Environmental Impact of Efficiency Improvements.” RethinkX, RethinkX, 26 Sept. 2023, www.rethinkx.com/blog/rethinking-jevons-paradox.")</f>
        <v>Denning, Adam, and Tony Seba. “Rethinking Jevons’ Paradox: The True Environmental Impact of Efficiency Improvements.” RethinkX, RethinkX, 26 Sept. 2023, www.rethinkx.com/blog/rethinking-jevons-paradox.</v>
      </c>
      <c r="D180" s="1" t="str">
        <f>IFERROR(__xludf.DUMMYFUNCTION("""COMPUTED_VALUE"""),"dam Dorr directs our research program and leads our research team. He is an environmental social scientist and technology theorist whose recent RethinkX publications have focused on the disruption of the global energy sector by new energy generation and s"&amp;"torage technologies, as well as the implications of the energy, transportation and food disruptions for climate change.")</f>
        <v>dam Dorr directs our research program and leads our research team. He is an environmental social scientist and technology theorist whose recent RethinkX publications have focused on the disruption of the global energy sector by new energy generation and storage technologies, as well as the implications of the energy, transportation and food disruptions for climate change.</v>
      </c>
      <c r="E180" s="1" t="str">
        <f>IFERROR(__xludf.DUMMYFUNCTION("""COMPUTED_VALUE"""),"AFFIRMATIVE")</f>
        <v>AFFIRMATIVE</v>
      </c>
      <c r="F180" s="1" t="str">
        <f>IFERROR(__xludf.DUMMYFUNCTION("""COMPUTED_VALUE"""),"AT: Jevons Paradox")</f>
        <v>AT: Jevons Paradox</v>
      </c>
      <c r="G180" s="1" t="str">
        <f>IFERROR(__xludf.DUMMYFUNCTION("""COMPUTED_VALUE"""),"This article provides much needed answers to the Jevons Paradox argument which makes up the REMs DA. It makes arguments about how green energy efficiency is still a net positive contrasting the negative evidence already in the library.")</f>
        <v>This article provides much needed answers to the Jevons Paradox argument which makes up the REMs DA. It makes arguments about how green energy efficiency is still a net positive contrasting the negative evidence already in the library.</v>
      </c>
      <c r="H180" s="1"/>
      <c r="I180" s="1" t="str">
        <f>IFERROR(__xludf.DUMMYFUNCTION("""COMPUTED_VALUE"""),"Dorr - Rethink")</f>
        <v>Dorr - Rethink</v>
      </c>
      <c r="J180" s="1" t="str">
        <f>IFERROR(__xludf.DUMMYFUNCTION("""COMPUTED_VALUE"""),"Wave 2 (due Nov. 8)")</f>
        <v>Wave 2 (due Nov. 8)</v>
      </c>
      <c r="K180" s="5" t="str">
        <f>IFERROR(__xludf.DUMMYFUNCTION("""COMPUTED_VALUE"""),"https://drive.google.com/open?id=16T-TdwwVbfPEsIWMoAr-N1Ip5OFslaTM")</f>
        <v>https://drive.google.com/open?id=16T-TdwwVbfPEsIWMoAr-N1Ip5OFslaTM</v>
      </c>
      <c r="L180" s="3" t="s">
        <v>2</v>
      </c>
    </row>
    <row r="181">
      <c r="A181" s="4">
        <f>IFERROR(__xludf.DUMMYFUNCTION("""COMPUTED_VALUE"""),45604.720217118054)</f>
        <v>45604.72022</v>
      </c>
      <c r="B181" s="1" t="str">
        <f>IFERROR(__xludf.DUMMYFUNCTION("""COMPUTED_VALUE"""),"alexmooney256@gmail.com")</f>
        <v>alexmooney256@gmail.com</v>
      </c>
      <c r="C181" s="1" t="str">
        <f>IFERROR(__xludf.DUMMYFUNCTION("""COMPUTED_VALUE"""),"Wu, K., Paranjothi, G., Milford, J.B. &amp; Kreith, F. (2016). Transition to sustainability with natural gas from fracking, Sustainable Energy Technologies and Assessments, 14(2016), 26-34")</f>
        <v>Wu, K., Paranjothi, G., Milford, J.B. &amp; Kreith, F. (2016). Transition to sustainability with natural gas from fracking, Sustainable Energy Technologies and Assessments, 14(2016), 26-34</v>
      </c>
      <c r="D181" s="1" t="str">
        <f>IFERROR(__xludf.DUMMYFUNCTION("""COMPUTED_VALUE"""),"All: Department of Mechanical Engineering, University of Colorado Boulder, Boulder, CO 80309, United States")</f>
        <v>All: Department of Mechanical Engineering, University of Colorado Boulder, Boulder, CO 80309, United States</v>
      </c>
      <c r="E181" s="1" t="str">
        <f>IFERROR(__xludf.DUMMYFUNCTION("""COMPUTED_VALUE"""),"NEGATIVE")</f>
        <v>NEGATIVE</v>
      </c>
      <c r="F181" s="1" t="str">
        <f>IFERROR(__xludf.DUMMYFUNCTION("""COMPUTED_VALUE"""),"Natural Gas DA")</f>
        <v>Natural Gas DA</v>
      </c>
      <c r="G181" s="1" t="str">
        <f>IFERROR(__xludf.DUMMYFUNCTION("""COMPUTED_VALUE"""),"Data driven research that shows a with natural gas scenario is better for the climate than without, builds links and uniqueness for the DA")</f>
        <v>Data driven research that shows a with natural gas scenario is better for the climate than without, builds links and uniqueness for the DA</v>
      </c>
      <c r="H181" s="1" t="str">
        <f>IFERROR(__xludf.DUMMYFUNCTION("""COMPUTED_VALUE"""),"This paper analyzes the energy requirements and cost of constructing a renewable energy system with the excess energy available from natural gas obtained by hydraulic fracturing. Using U.S. Energy Information Administration estimates of the future availab"&amp;"ility of natural gas and estimates from the literature of the energy required to build a wind power and photovoltaic (PV) electricity generation system, we develop a scenario for constructing a sustainable electricity system for the United States. A preli"&amp;"minary analysis is made of the cost of the renewable system. Net reductions in emissions of greenhouse gases and oxides of nitrogen are also estimated. The analysis suggests that it would be possible to build a sustainable electricity system from the exce"&amp;"ss natural gas from fracking in less than 30 years. After that, the energy produced from the renewable system is sufficient to replace obsolete equipment and construct new generation technology as required by growth in demand. Even after accounting for th"&amp;"e emissions associated with its construction and operation, the sustainable system would reduce greenhouse gas (GHG) and nitrogen oxides emissions compared to continued use of a fossil fuel system.")</f>
        <v>This paper analyzes the energy requirements and cost of constructing a renewable energy system with the excess energy available from natural gas obtained by hydraulic fracturing. Using U.S. Energy Information Administration estimates of the future availability of natural gas and estimates from the literature of the energy required to build a wind power and photovoltaic (PV) electricity generation system, we develop a scenario for constructing a sustainable electricity system for the United States. A preliminary analysis is made of the cost of the renewable system. Net reductions in emissions of greenhouse gases and oxides of nitrogen are also estimated. The analysis suggests that it would be possible to build a sustainable electricity system from the excess natural gas from fracking in less than 30 years. After that, the energy produced from the renewable system is sufficient to replace obsolete equipment and construct new generation technology as required by growth in demand. Even after accounting for the emissions associated with its construction and operation, the sustainable system would reduce greenhouse gas (GHG) and nitrogen oxides emissions compared to continued use of a fossil fuel system.</v>
      </c>
      <c r="I181" s="1" t="str">
        <f>IFERROR(__xludf.DUMMYFUNCTION("""COMPUTED_VALUE"""),"Mooney Hillsdale")</f>
        <v>Mooney Hillsdale</v>
      </c>
      <c r="J181" s="1" t="str">
        <f>IFERROR(__xludf.DUMMYFUNCTION("""COMPUTED_VALUE"""),"Wave 2 (due Nov. 8)")</f>
        <v>Wave 2 (due Nov. 8)</v>
      </c>
      <c r="K181" s="5" t="str">
        <f>IFERROR(__xludf.DUMMYFUNCTION("""COMPUTED_VALUE"""),"https://drive.google.com/open?id=1q_b7hkTagiWUuGwWbXKARPhAvlpxp83e")</f>
        <v>https://drive.google.com/open?id=1q_b7hkTagiWUuGwWbXKARPhAvlpxp83e</v>
      </c>
      <c r="L181" s="3" t="s">
        <v>1</v>
      </c>
    </row>
    <row r="182">
      <c r="A182" s="4">
        <f>IFERROR(__xludf.DUMMYFUNCTION("""COMPUTED_VALUE"""),45604.730842627316)</f>
        <v>45604.73084</v>
      </c>
      <c r="B182" s="1" t="str">
        <f>IFERROR(__xludf.DUMMYFUNCTION("""COMPUTED_VALUE"""),"alexmooney256@gmail.com")</f>
        <v>alexmooney256@gmail.com</v>
      </c>
      <c r="C182" s="1" t="str">
        <f>IFERROR(__xludf.DUMMYFUNCTION("""COMPUTED_VALUE"""),"Achakulwisut, P., Erickson, P. &amp; Koplow, D. (2021). Effect of subsidies and regulatory exemptions on 2020–2030 oil and gas production and profits in the United States. Environmental Research Letters, 16(8), 084023. https://doi.org/10.1088/1748-9326/ac0a10")</f>
        <v>Achakulwisut, P., Erickson, P. &amp; Koplow, D. (2021). Effect of subsidies and regulatory exemptions on 2020–2030 oil and gas production and profits in the United States. Environmental Research Letters, 16(8), 084023. https://doi.org/10.1088/1748-9326/ac0a10</v>
      </c>
      <c r="D182" s="1" t="str">
        <f>IFERROR(__xludf.DUMMYFUNCTION("""COMPUTED_VALUE"""),"Achakulwisut &amp; Erickson: Stockholm Environment Institute, Somerville, MA, USA; Koplow: Earth Track, Inc., Cambridge, MA, USA")</f>
        <v>Achakulwisut &amp; Erickson: Stockholm Environment Institute, Somerville, MA, USA; Koplow: Earth Track, Inc., Cambridge, MA, USA</v>
      </c>
      <c r="E182" s="1" t="str">
        <f>IFERROR(__xludf.DUMMYFUNCTION("""COMPUTED_VALUE"""),"MIXED")</f>
        <v>MIXED</v>
      </c>
      <c r="F182" s="1" t="str">
        <f>IFERROR(__xludf.DUMMYFUNCTION("""COMPUTED_VALUE"""),"Remove Fossil Fuel Subsidies")</f>
        <v>Remove Fossil Fuel Subsidies</v>
      </c>
      <c r="G182" s="1" t="str">
        <f>IFERROR(__xludf.DUMMYFUNCTION("""COMPUTED_VALUE"""),"Quantifies the impact of FFS on production and provides links for both sides, includes much needed details on FFS")</f>
        <v>Quantifies the impact of FFS on production and provides links for both sides, includes much needed details on FFS</v>
      </c>
      <c r="H182" s="1" t="str">
        <f>IFERROR(__xludf.DUMMYFUNCTION("""COMPUTED_VALUE"""),"The United States has supported the development of its oil and gas industry since the early twentieth century. Despite repeated pledges to phase out 'inefficient' fossil fuel subsidies, US oil and gas production continues to be subsidized by billions of d"&amp;"ollars each year. In this study, we quantify how 16 subsidies and regulatory exemptions individually and altogether affect the economics of US oil and gas production in 2020–2030 under different price and financial risk outlooks. We find that, at 2019 ave"&amp;"rage market prices of oil and gas, the 16 subsidies could increase the average rates of return of yet-to-be-developed oil and gas fields by 55% and 68% over unsubsidized levels, respectively, with over 96% of subsidy value flowing to excess profits under "&amp;"a 10% hurdle rate. At lower 2020 prices, the subsidies could increase the average rates of return of new oil and gas fields by 63% and 78% over unsubsidized levels, respectively, with more than 60% of oil and gas resources being dependent on subsidies to "&amp;"be profitable under a 20% hurdle rate. Under all price scenarios analyzed, the highest-value subsidies include federal tax incentives that have existed since 1916, as well as less recognized forms of support such as cost exemptions related to well cleanup"&amp;" and hazardous waste management. Given that these results depend on our chosen definitions of what constitutes a subsidy and, in some cases, assumptions regarding what the unsubsidized practices should be, we also present results for selected subsets of s"&amp;"ubsidies. By showing which subsidies have the greatest effects in different producing regions of the country, our findings can help policymakers chart a schedule of targeted subsidy repeals and regulatory reforms that can contribute to reducing carbon dio"&amp;"xide emissions and achieving other sustainable development goals. Our results can also help inform how different choices about economic recovery measures in response to the COVID-19 pandemic can shape the US oil and gas industry in the years to come.")</f>
        <v>The United States has supported the development of its oil and gas industry since the early twentieth century. Despite repeated pledges to phase out 'inefficient' fossil fuel subsidies, US oil and gas production continues to be subsidized by billions of dollars each year. In this study, we quantify how 16 subsidies and regulatory exemptions individually and altogether affect the economics of US oil and gas production in 2020–2030 under different price and financial risk outlooks. We find that, at 2019 average market prices of oil and gas, the 16 subsidies could increase the average rates of return of yet-to-be-developed oil and gas fields by 55% and 68% over unsubsidized levels, respectively, with over 96% of subsidy value flowing to excess profits under a 10% hurdle rate. At lower 2020 prices, the subsidies could increase the average rates of return of new oil and gas fields by 63% and 78% over unsubsidized levels, respectively, with more than 60% of oil and gas resources being dependent on subsidies to be profitable under a 20% hurdle rate. Under all price scenarios analyzed, the highest-value subsidies include federal tax incentives that have existed since 1916, as well as less recognized forms of support such as cost exemptions related to well cleanup and hazardous waste management. Given that these results depend on our chosen definitions of what constitutes a subsidy and, in some cases, assumptions regarding what the unsubsidized practices should be, we also present results for selected subsets of subsidies. By showing which subsidies have the greatest effects in different producing regions of the country, our findings can help policymakers chart a schedule of targeted subsidy repeals and regulatory reforms that can contribute to reducing carbon dioxide emissions and achieving other sustainable development goals. Our results can also help inform how different choices about economic recovery measures in response to the COVID-19 pandemic can shape the US oil and gas industry in the years to come.</v>
      </c>
      <c r="I182" s="1" t="str">
        <f>IFERROR(__xludf.DUMMYFUNCTION("""COMPUTED_VALUE"""),"Mooney Hillsdale")</f>
        <v>Mooney Hillsdale</v>
      </c>
      <c r="J182" s="1" t="str">
        <f>IFERROR(__xludf.DUMMYFUNCTION("""COMPUTED_VALUE"""),"Wave 2 (due Nov. 8)")</f>
        <v>Wave 2 (due Nov. 8)</v>
      </c>
      <c r="K182" s="5" t="str">
        <f>IFERROR(__xludf.DUMMYFUNCTION("""COMPUTED_VALUE"""),"https://drive.google.com/open?id=12klb4_xE_kcEyrt_ay2wgAtHST_uDvtb")</f>
        <v>https://drive.google.com/open?id=12klb4_xE_kcEyrt_ay2wgAtHST_uDvtb</v>
      </c>
      <c r="L182" s="3" t="s">
        <v>1</v>
      </c>
    </row>
    <row r="183">
      <c r="A183" s="4">
        <f>IFERROR(__xludf.DUMMYFUNCTION("""COMPUTED_VALUE"""),45604.73407287037)</f>
        <v>45604.73407</v>
      </c>
      <c r="B183" s="1" t="str">
        <f>IFERROR(__xludf.DUMMYFUNCTION("""COMPUTED_VALUE"""),"alexmooney256@gmail.com")</f>
        <v>alexmooney256@gmail.com</v>
      </c>
      <c r="C183" s="1" t="str">
        <f>IFERROR(__xludf.DUMMYFUNCTION("""COMPUTED_VALUE"""),"Gonclaves, C., Choi, T. &amp; Van Kote, T. (2020). Energy transition bridge fuel. Do we still need natural gas? Berkeley Research Group")</f>
        <v>Gonclaves, C., Choi, T. &amp; Van Kote, T. (2020). Energy transition bridge fuel. Do we still need natural gas? Berkeley Research Group</v>
      </c>
      <c r="D183" s="1" t="str">
        <f>IFERROR(__xludf.DUMMYFUNCTION("""COMPUTED_VALUE"""),"Goncalves, chair and managing director of BRG’s Energy &amp; Climate practice, has thirty years of international experience in the energy and financial industries. He provides energy industry and damages expert services for international energy arbitration an"&amp;"d litigation matters for law firms and industry clients. Choi is a noted international natural gas economist and strategist who provides a global perspective on energy economics and market fundamentals. During his almost thirty-year career in management c"&amp;"onsulting, he has advised senior management in client organizations on making strategic decisions in the face of risk and uncertainty. Kote is a senior associate in BRG’s energy and climate practice. He provides analysis in the areas of power and natural "&amp;"gas markets, climate change policy and project finance.")</f>
        <v>Goncalves, chair and managing director of BRG’s Energy &amp; Climate practice, has thirty years of international experience in the energy and financial industries. He provides energy industry and damages expert services for international energy arbitration and litigation matters for law firms and industry clients. Choi is a noted international natural gas economist and strategist who provides a global perspective on energy economics and market fundamentals. During his almost thirty-year career in management consulting, he has advised senior management in client organizations on making strategic decisions in the face of risk and uncertainty. Kote is a senior associate in BRG’s energy and climate practice. He provides analysis in the areas of power and natural gas markets, climate change policy and project finance.</v>
      </c>
      <c r="E183" s="1" t="str">
        <f>IFERROR(__xludf.DUMMYFUNCTION("""COMPUTED_VALUE"""),"NEGATIVE")</f>
        <v>NEGATIVE</v>
      </c>
      <c r="F183" s="1" t="str">
        <f>IFERROR(__xludf.DUMMYFUNCTION("""COMPUTED_VALUE"""),"Natural Gas DA")</f>
        <v>Natural Gas DA</v>
      </c>
      <c r="G183" s="1" t="str">
        <f>IFERROR(__xludf.DUMMYFUNCTION("""COMPUTED_VALUE"""),"Uses modeling to determine the most environmentally friendly path forward includes natural gas, builds the backbone the natural gas DA")</f>
        <v>Uses modeling to determine the most environmentally friendly path forward includes natural gas, builds the backbone the natural gas DA</v>
      </c>
      <c r="H183" s="1" t="str">
        <f>IFERROR(__xludf.DUMMYFUNCTION("""COMPUTED_VALUE"""),"The notion that natural gas would serve as a “bridge fuel” to facilitate the transition toward a cleaner energy future from the dominance of fossil fuel consumption in power generation, industrial production, and transportation sectors first was promoted "&amp;"in the 1970s in the wake of the energy crisis. The idea was that natural gas could be used to replace heavier fuels like oil and coal which produce substantially more emissions of carbon dioxide (CO2 ), nitrogen oxides (NOx), and sulfur oxides (SOx); help"&amp;" countries decrease their dependence on foreign oil (Bordoff, 2019); and buy time until renewable energy could be developed to levels of economic efficiency, scale, and reliability to replace all fossil fuels.")</f>
        <v>The notion that natural gas would serve as a “bridge fuel” to facilitate the transition toward a cleaner energy future from the dominance of fossil fuel consumption in power generation, industrial production, and transportation sectors first was promoted in the 1970s in the wake of the energy crisis. The idea was that natural gas could be used to replace heavier fuels like oil and coal which produce substantially more emissions of carbon dioxide (CO2 ), nitrogen oxides (NOx), and sulfur oxides (SOx); help countries decrease their dependence on foreign oil (Bordoff, 2019); and buy time until renewable energy could be developed to levels of economic efficiency, scale, and reliability to replace all fossil fuels.</v>
      </c>
      <c r="I183" s="1" t="str">
        <f>IFERROR(__xludf.DUMMYFUNCTION("""COMPUTED_VALUE"""),"Mooney Hillsdale")</f>
        <v>Mooney Hillsdale</v>
      </c>
      <c r="J183" s="1" t="str">
        <f>IFERROR(__xludf.DUMMYFUNCTION("""COMPUTED_VALUE"""),"Wave 2 (due Nov. 8)")</f>
        <v>Wave 2 (due Nov. 8)</v>
      </c>
      <c r="K183" s="5" t="str">
        <f>IFERROR(__xludf.DUMMYFUNCTION("""COMPUTED_VALUE"""),"https://drive.google.com/open?id=1cjrzmdaqFbDWqOlCrcdzGlk7gmyKWaMA")</f>
        <v>https://drive.google.com/open?id=1cjrzmdaqFbDWqOlCrcdzGlk7gmyKWaMA</v>
      </c>
      <c r="L183" s="3" t="s">
        <v>2</v>
      </c>
    </row>
    <row r="184">
      <c r="A184" s="4">
        <f>IFERROR(__xludf.DUMMYFUNCTION("""COMPUTED_VALUE"""),45604.7343697801)</f>
        <v>45604.73437</v>
      </c>
      <c r="B184" s="1" t="str">
        <f>IFERROR(__xludf.DUMMYFUNCTION("""COMPUTED_VALUE"""),"saurphoebe@gmail.com")</f>
        <v>saurphoebe@gmail.com</v>
      </c>
      <c r="C184" s="1" t="str">
        <f>IFERROR(__xludf.DUMMYFUNCTION("""COMPUTED_VALUE"""),"Li, J., &amp; Sun, C. (2018). Towards a low carbon economy by removing fossil fuel subsidies?. China Economic Review, 50, 17-33.")</f>
        <v>Li, J., &amp; Sun, C. (2018). Towards a low carbon economy by removing fossil fuel subsidies?. China Economic Review, 50, 17-33.</v>
      </c>
      <c r="D184" s="1" t="str">
        <f>IFERROR(__xludf.DUMMYFUNCTION("""COMPUTED_VALUE"""),"Jianglong Li Professor, School of Economics and Finance, Xi’an Jiaotong University Alumnus (Visiting Scholar) and Associate, Harvard-China Project. Dr. Sun is a Professor in the School of Economics, Xiamen University, China.  His work focuses on carbon ne"&amp;"utralization, energy economics, green economics and macroeconomics.")</f>
        <v>Jianglong Li Professor, School of Economics and Finance, Xi’an Jiaotong University Alumnus (Visiting Scholar) and Associate, Harvard-China Project. Dr. Sun is a Professor in the School of Economics, Xiamen University, China.  His work focuses on carbon neutralization, energy economics, green economics and macroeconomics.</v>
      </c>
      <c r="E184" s="1" t="str">
        <f>IFERROR(__xludf.DUMMYFUNCTION("""COMPUTED_VALUE"""),"NEGATIVE")</f>
        <v>NEGATIVE</v>
      </c>
      <c r="F184" s="1" t="str">
        <f>IFERROR(__xludf.DUMMYFUNCTION("""COMPUTED_VALUE"""),"Remove Fossil Fuel Subsidies")</f>
        <v>Remove Fossil Fuel Subsidies</v>
      </c>
      <c r="G184" s="1" t="str">
        <f>IFERROR(__xludf.DUMMYFUNCTION("""COMPUTED_VALUE"""),"To reduce energy consumption and energy-related greenhouse gas emissions, there is a renewed interest in phasing out fossil fuel subsidies. Our results demonstrate that additional policies and efforts will be required to fulfill the aspirations for low ca"&amp;"rbon economy. ")</f>
        <v>To reduce energy consumption and energy-related greenhouse gas emissions, there is a renewed interest in phasing out fossil fuel subsidies. Our results demonstrate that additional policies and efforts will be required to fulfill the aspirations for low carbon economy. </v>
      </c>
      <c r="H184" s="1" t="str">
        <f>IFERROR(__xludf.DUMMYFUNCTION("""COMPUTED_VALUE"""),"An important environmental consequence of subsidies for fossil fuels is that it encourages
the substitution from renewable energy, capital and labor to fossil fuels, and thus impedes
the low carbon transition. To reduce energy consumption and energy-relat"&amp;"ed greenhouse
gas emissions, there is a renewed interest in phasing out fossil fuel subsidies. In policy
debates, it is commonly believed that fossil fuel subsidies encourage wasteful energy
consuming, and thus removing them would depress energy-related c"&amp;"arbon dioxide (CO2)
emissions. But whether it is the real case and the magnitude of mitigation by removing
fossil fuel subsidies are still unanswered. Here we provide an opposite insight in this paper.
We find that fossil fuel subsidies in China might hav"&amp;"e been removed in total in 2015, but
further attention should be paid to whether the removal is caused by the market condition
of low energy prices, or by the on-going market-oriented reforms. Furthermore, during the
periods with positive subsidies, remov"&amp;"ing fossil fuel subsidies alone cannot achieve CO2
mitigation because it would lead to the substitution from low-emitted fuels to high-emitted
coal and from capital and labor to energy. Our results demonstrate that additional policies
and efforts will be "&amp;"required to fulfill the aspirations for low carbon economy. The findings
in this paper may be extended to emerging and developing countries due to their similar
conditions of fossil fuel subsidies.")</f>
        <v>An important environmental consequence of subsidies for fossil fuels is that it encourages
the substitution from renewable energy, capital and labor to fossil fuels, and thus impedes
the low carbon transition. To reduce energy consumption and energy-related greenhouse
gas emissions, there is a renewed interest in phasing out fossil fuel subsidies. In policy
debates, it is commonly believed that fossil fuel subsidies encourage wasteful energy
consuming, and thus removing them would depress energy-related carbon dioxide (CO2)
emissions. But whether it is the real case and the magnitude of mitigation by removing
fossil fuel subsidies are still unanswered. Here we provide an opposite insight in this paper.
We find that fossil fuel subsidies in China might have been removed in total in 2015, but
further attention should be paid to whether the removal is caused by the market condition
of low energy prices, or by the on-going market-oriented reforms. Furthermore, during the
periods with positive subsidies, removing fossil fuel subsidies alone cannot achieve CO2
mitigation because it would lead to the substitution from low-emitted fuels to high-emitted
coal and from capital and labor to energy. Our results demonstrate that additional policies
and efforts will be required to fulfill the aspirations for low carbon economy. The findings
in this paper may be extended to emerging and developing countries due to their similar
conditions of fossil fuel subsidies.</v>
      </c>
      <c r="I184" s="1" t="str">
        <f>IFERROR(__xludf.DUMMYFUNCTION("""COMPUTED_VALUE"""),"Saur WWU")</f>
        <v>Saur WWU</v>
      </c>
      <c r="J184" s="1" t="str">
        <f>IFERROR(__xludf.DUMMYFUNCTION("""COMPUTED_VALUE"""),"Wave 2 (due Nov. 8)")</f>
        <v>Wave 2 (due Nov. 8)</v>
      </c>
      <c r="K184" s="5" t="str">
        <f>IFERROR(__xludf.DUMMYFUNCTION("""COMPUTED_VALUE"""),"https://drive.google.com/open?id=106H_cpAlVmrJ7A2ZzxGFnH5T_DWdobWK")</f>
        <v>https://drive.google.com/open?id=106H_cpAlVmrJ7A2ZzxGFnH5T_DWdobWK</v>
      </c>
      <c r="L184" s="3" t="s">
        <v>2</v>
      </c>
    </row>
    <row r="185">
      <c r="A185" s="4">
        <f>IFERROR(__xludf.DUMMYFUNCTION("""COMPUTED_VALUE"""),45604.736479583335)</f>
        <v>45604.73648</v>
      </c>
      <c r="B185" s="1" t="str">
        <f>IFERROR(__xludf.DUMMYFUNCTION("""COMPUTED_VALUE"""),"alexmooney256@gmail.com")</f>
        <v>alexmooney256@gmail.com</v>
      </c>
      <c r="C185" s="1" t="str">
        <f>IFERROR(__xludf.DUMMYFUNCTION("""COMPUTED_VALUE"""),"Hickel, J. (2020). What does degrowth mean? A few points of clarification. Globalizations, 18(7), 1105–1111. https://doi.org/10.1080/14747731.2020.1812222")</f>
        <v>Hickel, J. (2020). What does degrowth mean? A few points of clarification. Globalizations, 18(7), 1105–1111. https://doi.org/10.1080/14747731.2020.1812222</v>
      </c>
      <c r="D185" s="1" t="str">
        <f>IFERROR(__xludf.DUMMYFUNCTION("""COMPUTED_VALUE"""),"Jason Hickel - Department of Anthropology, Goldsmiths, University of London, London, UK")</f>
        <v>Jason Hickel - Department of Anthropology, Goldsmiths, University of London, London, UK</v>
      </c>
      <c r="E185" s="1" t="str">
        <f>IFERROR(__xludf.DUMMYFUNCTION("""COMPUTED_VALUE"""),"MIXED")</f>
        <v>MIXED</v>
      </c>
      <c r="F185" s="1" t="str">
        <f>IFERROR(__xludf.DUMMYFUNCTION("""COMPUTED_VALUE"""),"Degrowth")</f>
        <v>Degrowth</v>
      </c>
      <c r="G185" s="1" t="str">
        <f>IFERROR(__xludf.DUMMYFUNCTION("""COMPUTED_VALUE"""),"Provides much needed degrowth CP and Alt specifics that gives more tangible positions to debate. Distinguishes degrowth from recession and explains global perspective")</f>
        <v>Provides much needed degrowth CP and Alt specifics that gives more tangible positions to debate. Distinguishes degrowth from recession and explains global perspective</v>
      </c>
      <c r="H185" s="1" t="str">
        <f>IFERROR(__xludf.DUMMYFUNCTION("""COMPUTED_VALUE"""),"Degrowth is a planned reduction of energy and resource use designed to bring the economy back into balance with the living world in a way that reduces inequality and improves human well-being. Over the past few years, the idea has attracted significant at"&amp;"tention among academics and social movements, but for people new to the idea it raises a number of questions. Here I set out to clarify three specific issues: (1) I specify what degrowth means, and argue that the framing of degrowth is an asset, not a lia"&amp;"bility; (2) I explain how degrowth differs fundamentally from a recession; and (3) I affirm that degrowth is primarily focused on high-income nations, and explore the implications of degrowth for the global South.")</f>
        <v>Degrowth is a planned reduction of energy and resource use designed to bring the economy back into balance with the living world in a way that reduces inequality and improves human well-being. Over the past few years, the idea has attracted significant attention among academics and social movements, but for people new to the idea it raises a number of questions. Here I set out to clarify three specific issues: (1) I specify what degrowth means, and argue that the framing of degrowth is an asset, not a liability; (2) I explain how degrowth differs fundamentally from a recession; and (3) I affirm that degrowth is primarily focused on high-income nations, and explore the implications of degrowth for the global South.</v>
      </c>
      <c r="I185" s="1" t="str">
        <f>IFERROR(__xludf.DUMMYFUNCTION("""COMPUTED_VALUE"""),"Mooney Hillsdale")</f>
        <v>Mooney Hillsdale</v>
      </c>
      <c r="J185" s="1" t="str">
        <f>IFERROR(__xludf.DUMMYFUNCTION("""COMPUTED_VALUE"""),"Wave 2 (due Nov. 8)")</f>
        <v>Wave 2 (due Nov. 8)</v>
      </c>
      <c r="K185" s="5" t="str">
        <f>IFERROR(__xludf.DUMMYFUNCTION("""COMPUTED_VALUE"""),"https://drive.google.com/open?id=1qV8lsL3H9vqsF96VUH7OABvFD18Hi7Of")</f>
        <v>https://drive.google.com/open?id=1qV8lsL3H9vqsF96VUH7OABvFD18Hi7Of</v>
      </c>
      <c r="L185" s="3" t="s">
        <v>2</v>
      </c>
    </row>
    <row r="186">
      <c r="A186" s="4">
        <f>IFERROR(__xludf.DUMMYFUNCTION("""COMPUTED_VALUE"""),45604.74273386574)</f>
        <v>45604.74273</v>
      </c>
      <c r="B186" s="1" t="str">
        <f>IFERROR(__xludf.DUMMYFUNCTION("""COMPUTED_VALUE"""),"alexmooney256@gmail.com")</f>
        <v>alexmooney256@gmail.com</v>
      </c>
      <c r="C186" s="1" t="str">
        <f>IFERROR(__xludf.DUMMYFUNCTION("""COMPUTED_VALUE"""),"Malerba, D., Chen, X., Feng, K., Hubacek, K., &amp; Oswald, Y. (2022). The impact of carbon taxation and revenue redistribution on poverty and inequality. www.econstor.eu. https://doi.org/10.23661/ipb11.2022")</f>
        <v>Malerba, D., Chen, X., Feng, K., Hubacek, K., &amp; Oswald, Y. (2022). The impact of carbon taxation and revenue redistribution on poverty and inequality. www.econstor.eu. https://doi.org/10.23661/ipb11.2022</v>
      </c>
      <c r="D186" s="1" t="str">
        <f>IFERROR(__xludf.DUMMYFUNCTION("""COMPUTED_VALUE"""),"Malerba is a Senior Researcher at the German Institute for Development and Sustainability. Chen holds a PhD in Sustainable and Renewable Energy and works as a lecturer at Loughborough University. Feng is a professor in the Department of Geographical Scien"&amp;"ce at the University of Maryland at College Park. Hubacek is a professor in Science, Technology and Society at the University of Groningen, the Netherlands. Oswald holds a PhD in Quantitative Ecological Economics ")</f>
        <v>Malerba is a Senior Researcher at the German Institute for Development and Sustainability. Chen holds a PhD in Sustainable and Renewable Energy and works as a lecturer at Loughborough University. Feng is a professor in the Department of Geographical Science at the University of Maryland at College Park. Hubacek is a professor in Science, Technology and Society at the University of Groningen, the Netherlands. Oswald holds a PhD in Quantitative Ecological Economics </v>
      </c>
      <c r="E186" s="1" t="str">
        <f>IFERROR(__xludf.DUMMYFUNCTION("""COMPUTED_VALUE"""),"NEGATIVE")</f>
        <v>NEGATIVE</v>
      </c>
      <c r="F186" s="1" t="str">
        <f>IFERROR(__xludf.DUMMYFUNCTION("""COMPUTED_VALUE"""),"Carbon Tax")</f>
        <v>Carbon Tax</v>
      </c>
      <c r="G186" s="1" t="str">
        <f>IFERROR(__xludf.DUMMYFUNCTION("""COMPUTED_VALUE"""),"Provides empirical analysis of Sweden's carbon and gasoline taxes and analyzes the link between the regressivity of carbon taxes and income inequality. Finds that the progressivity/regressivity of carbon taxes depends on the Gini coefficient or the change"&amp;" in income inequality over time, and that carbon taxes are more likely to be regressive in high income countries")</f>
        <v>Provides empirical analysis of Sweden's carbon and gasoline taxes and analyzes the link between the regressivity of carbon taxes and income inequality. Finds that the progressivity/regressivity of carbon taxes depends on the Gini coefficient or the change in income inequality over time, and that carbon taxes are more likely to be regressive in high income countries</v>
      </c>
      <c r="H186" s="1" t="str">
        <f>IFERROR(__xludf.DUMMYFUNCTION("""COMPUTED_VALUE"""),"This paper addresses the question of the distributional burden of a carbon tax. It shows that, not only the income measure – annual or lifetime – matters for the incidence of the tax, but also the underlying distribution of income. The Swedish carbon tax "&amp;"on transport fuel is regressive between 1999-2012 when measured against annual income, but progressive when using lifetime income. The overall trend, however, is toward an increase in regressivity, which is highly correlated with a rise in income inequali"&amp;"ty. Analysis of the determinants of distributional effects lends support to our hypothesis that, for necessities – goods with an income elasticity below one – rising income inequality increases the regressivity of a consumption tax. To mitigate climate ch"&amp;"ange, a carbon tax should be applied to goods that typically are necessities: transport fuel, food, heating, and electricity. Carbon taxation will thus likely be regressive in high-income countries, the more so the more unequal the distribution of income")</f>
        <v>This paper addresses the question of the distributional burden of a carbon tax. It shows that, not only the income measure – annual or lifetime – matters for the incidence of the tax, but also the underlying distribution of income. The Swedish carbon tax on transport fuel is regressive between 1999-2012 when measured against annual income, but progressive when using lifetime income. The overall trend, however, is toward an increase in regressivity, which is highly correlated with a rise in income inequality. Analysis of the determinants of distributional effects lends support to our hypothesis that, for necessities – goods with an income elasticity below one – rising income inequality increases the regressivity of a consumption tax. To mitigate climate change, a carbon tax should be applied to goods that typically are necessities: transport fuel, food, heating, and electricity. Carbon taxation will thus likely be regressive in high-income countries, the more so the more unequal the distribution of income</v>
      </c>
      <c r="I186" s="1" t="str">
        <f>IFERROR(__xludf.DUMMYFUNCTION("""COMPUTED_VALUE"""),"Woo Hillsdale")</f>
        <v>Woo Hillsdale</v>
      </c>
      <c r="J186" s="1" t="str">
        <f>IFERROR(__xludf.DUMMYFUNCTION("""COMPUTED_VALUE"""),"Wave 2 (due Nov. 8)")</f>
        <v>Wave 2 (due Nov. 8)</v>
      </c>
      <c r="K186" s="5" t="str">
        <f>IFERROR(__xludf.DUMMYFUNCTION("""COMPUTED_VALUE"""),"https://drive.google.com/open?id=1JJujNQN4W1mwdUUDB1j7Hye5pLjmUqOx")</f>
        <v>https://drive.google.com/open?id=1JJujNQN4W1mwdUUDB1j7Hye5pLjmUqOx</v>
      </c>
      <c r="L186" s="3" t="s">
        <v>1</v>
      </c>
    </row>
    <row r="187">
      <c r="A187" s="4">
        <f>IFERROR(__xludf.DUMMYFUNCTION("""COMPUTED_VALUE"""),45604.744296793986)</f>
        <v>45604.7443</v>
      </c>
      <c r="B187" s="1" t="str">
        <f>IFERROR(__xludf.DUMMYFUNCTION("""COMPUTED_VALUE"""),"alexmooney256@gmail.com")</f>
        <v>alexmooney256@gmail.com</v>
      </c>
      <c r="C187" s="1" t="str">
        <f>IFERROR(__xludf.DUMMYFUNCTION("""COMPUTED_VALUE"""),"Andersson, J., &amp; Atkinson, G. (2020, September 9). The distributional effects of a carbon tax: The role of income inequality - Grantham Research Institute on climate change and the environment. Grantham Research Institute on Climate Change and the Environ"&amp;"ment. Retrieved October 22, 2024, from https://www.lse.ac.uk/granthaminstitute/publication/the-distributional-effects-of-a-carbon-tax-the-role-of-income-inequality/")</f>
        <v>Andersson, J., &amp; Atkinson, G. (2020, September 9). The distributional effects of a carbon tax: The role of income inequality - Grantham Research Institute on climate change and the environment. Grantham Research Institute on Climate Change and the Environment. Retrieved October 22, 2024, from https://www.lse.ac.uk/granthaminstitute/publication/the-distributional-effects-of-a-carbon-tax-the-role-of-income-inequality/</v>
      </c>
      <c r="D187" s="1" t="str">
        <f>IFERROR(__xludf.DUMMYFUNCTION("""COMPUTED_VALUE"""),"Andersson holds MSc in Environmental Economics and Climate Change from LSE and an MSc in Economics from UCL. He studied philosophy, psychology and economics as an undergraduate and has a BSc in Economics from Lund University. Atkinson is Professor of Envi"&amp;"ronmental Policy, Department of Geography and Environment, London School of Economics and Political Science and the Director of the Grantham Research Institute on Climate Change and the Environment")</f>
        <v>Andersson holds MSc in Environmental Economics and Climate Change from LSE and an MSc in Economics from UCL. He studied philosophy, psychology and economics as an undergraduate and has a BSc in Economics from Lund University. Atkinson is Professor of Environmental Policy, Department of Geography and Environment, London School of Economics and Political Science and the Director of the Grantham Research Institute on Climate Change and the Environment</v>
      </c>
      <c r="E187" s="1" t="str">
        <f>IFERROR(__xludf.DUMMYFUNCTION("""COMPUTED_VALUE"""),"MIXED")</f>
        <v>MIXED</v>
      </c>
      <c r="F187" s="1" t="str">
        <f>IFERROR(__xludf.DUMMYFUNCTION("""COMPUTED_VALUE"""),"Carbon Tax")</f>
        <v>Carbon Tax</v>
      </c>
      <c r="G187" s="1" t="str">
        <f>IFERROR(__xludf.DUMMYFUNCTION("""COMPUTED_VALUE"""),"Assesses the impact of a global carbon tax and national redistribution of revenues to vulnerable households on poverty and inequality. Argues that carbon taxes should act as an effective enabler of just social transitions and that redistribution of profit"&amp;"s should be done, but in a careful manner. ")</f>
        <v>Assesses the impact of a global carbon tax and national redistribution of revenues to vulnerable households on poverty and inequality. Argues that carbon taxes should act as an effective enabler of just social transitions and that redistribution of profits should be done, but in a careful manner. </v>
      </c>
      <c r="H187" s="1" t="str">
        <f>IFERROR(__xludf.DUMMYFUNCTION("""COMPUTED_VALUE"""),"The global policy debate on just transitions is concerned with how to achieve a socially just and acceptable transition toward a climate-neutral and climate-resilient global economy. At the core of this debate is the assumption that efforts to combat envi"&amp;"ronmental threats will not succeed unless combined with measures to reduce poverty and inequality. Our research explores the potential of carbon fiscal reforms, combining a carbon tax of levels deemed appropriate to achieve climate targets and the transfe"&amp;"r of the revenues raised to vulnerable households. The current energy and cost-of-living crisis shows the importance of protecting the poorest and most vulnerable households from price increases. It also shows the difficulty of achieving short- and long-t"&amp;"erm policy priorities. Despite the current spikes in energy prices, carbon fiscal reforms can achieve both social and environmental goals through simultaneously decreasing emissions and reducing poverty and inequality. They should act as an effective enab"&amp;"ler of just transitions. Carbon fiscal reform can avoid some environmental impacts by incentivising reductions in emissions. Carbon pricing has been increasingly advocated and is now at the centre of policy debates, including the UNFCCC Conference of the "&amp;"Parties (COP) and the recent German presidency of the world's leading industrial nations (G7). But carbon fiscal reforms can also be used to raise revenue from carbon pricing instruments to offset the negative effects of higher prices on poorer households"&amp;" as well as further reaching distributional targets and poverty alleviation. Climate targets are negotiated every year, including at COP, hence it is critical to re-evaluate and improve estimates of the distributional impacts of climate policies such as c"&amp;"arbon pricing. Public acceptability of climate policies is key to their implementation, but it depends to a large extent on the perceived fairness of such policies. Recycling revenues from carbon taxes directly back to vulnerable households is likely to g"&amp;"ain the approval of a large number of people, especially in low-income countries where the high proportion of the population involved in the informal economy means that lowering income tax does not benefit the poorest and most vulnerable sections of socie"&amp;"ty. But the targeting of these direct transfers needs careful consideration. Here, we assess the impact on poverty and inequality of a global carbon tax and national redistribution of revenues to vulnerable households. We look at different options for suc"&amp;"h redistribution, including a lump sum payment, the use of current social assistance programmes, and an expansion of social assistance following COVID-19. We find that a carbon tax of US$50/tCO2 without revenue redistribution could increase global extreme"&amp;" poverty, but the redistribution of revenue from such a carbon tax could substantially reduce poverty by between 16% and 27% (110 to 190 million people), and reduce inequality (the average Gini coefficient would decline by between 4% and 8%), depending on"&amp;" the scenario. This shows that the way in which revenue from a carbon tax is redistributed greatly affects its impact, underlining the importance of policy design and targeting mechanisms. The recycling of revenues should also take into account the specif"&amp;"ic political economy of a country and consider international transfers. These findings provide policy makers with a strong basis for informing discussions, starting off with those at COP27, in which ambitious climate targets and just transition should bot"&amp;"h remain central goals in the context of the ongoing international energy crisis.")</f>
        <v>The global policy debate on just transitions is concerned with how to achieve a socially just and acceptable transition toward a climate-neutral and climate-resilient global economy. At the core of this debate is the assumption that efforts to combat environmental threats will not succeed unless combined with measures to reduce poverty and inequality. Our research explores the potential of carbon fiscal reforms, combining a carbon tax of levels deemed appropriate to achieve climate targets and the transfer of the revenues raised to vulnerable households. The current energy and cost-of-living crisis shows the importance of protecting the poorest and most vulnerable households from price increases. It also shows the difficulty of achieving short- and long-term policy priorities. Despite the current spikes in energy prices, carbon fiscal reforms can achieve both social and environmental goals through simultaneously decreasing emissions and reducing poverty and inequality. They should act as an effective enabler of just transitions. Carbon fiscal reform can avoid some environmental impacts by incentivising reductions in emissions. Carbon pricing has been increasingly advocated and is now at the centre of policy debates, including the UNFCCC Conference of the Parties (COP) and the recent German presidency of the world's leading industrial nations (G7). But carbon fiscal reforms can also be used to raise revenue from carbon pricing instruments to offset the negative effects of higher prices on poorer households as well as further reaching distributional targets and poverty alleviation. Climate targets are negotiated every year, including at COP, hence it is critical to re-evaluate and improve estimates of the distributional impacts of climate policies such as carbon pricing. Public acceptability of climate policies is key to their implementation, but it depends to a large extent on the perceived fairness of such policies. Recycling revenues from carbon taxes directly back to vulnerable households is likely to gain the approval of a large number of people, especially in low-income countries where the high proportion of the population involved in the informal economy means that lowering income tax does not benefit the poorest and most vulnerable sections of society. But the targeting of these direct transfers needs careful consideration. Here, we assess the impact on poverty and inequality of a global carbon tax and national redistribution of revenues to vulnerable households. We look at different options for such redistribution, including a lump sum payment, the use of current social assistance programmes, and an expansion of social assistance following COVID-19. We find that a carbon tax of US$50/tCO2 without revenue redistribution could increase global extreme poverty, but the redistribution of revenue from such a carbon tax could substantially reduce poverty by between 16% and 27% (110 to 190 million people), and reduce inequality (the average Gini coefficient would decline by between 4% and 8%), depending on the scenario. This shows that the way in which revenue from a carbon tax is redistributed greatly affects its impact, underlining the importance of policy design and targeting mechanisms. The recycling of revenues should also take into account the specific political economy of a country and consider international transfers. These findings provide policy makers with a strong basis for informing discussions, starting off with those at COP27, in which ambitious climate targets and just transition should both remain central goals in the context of the ongoing international energy crisis.</v>
      </c>
      <c r="I187" s="1" t="str">
        <f>IFERROR(__xludf.DUMMYFUNCTION("""COMPUTED_VALUE"""),"Woo Hillsdale")</f>
        <v>Woo Hillsdale</v>
      </c>
      <c r="J187" s="1" t="str">
        <f>IFERROR(__xludf.DUMMYFUNCTION("""COMPUTED_VALUE"""),"Wave 2 (due Nov. 8)")</f>
        <v>Wave 2 (due Nov. 8)</v>
      </c>
      <c r="K187" s="5" t="str">
        <f>IFERROR(__xludf.DUMMYFUNCTION("""COMPUTED_VALUE"""),"https://drive.google.com/open?id=1UvW8wJAkJ9AN89b6szOqZQhxjYQz405K")</f>
        <v>https://drive.google.com/open?id=1UvW8wJAkJ9AN89b6szOqZQhxjYQz405K</v>
      </c>
      <c r="L187" s="3" t="s">
        <v>2</v>
      </c>
    </row>
    <row r="188">
      <c r="A188" s="4">
        <f>IFERROR(__xludf.DUMMYFUNCTION("""COMPUTED_VALUE"""),45604.74792605324)</f>
        <v>45604.74793</v>
      </c>
      <c r="B188" s="1" t="str">
        <f>IFERROR(__xludf.DUMMYFUNCTION("""COMPUTED_VALUE"""),"alexmooney256@gmail.com")</f>
        <v>alexmooney256@gmail.com</v>
      </c>
      <c r="C188" s="1" t="str">
        <f>IFERROR(__xludf.DUMMYFUNCTION("""COMPUTED_VALUE"""),"Xu, H., Pan, X., Li, J., Feng, S., &amp; Guo, S. (2023). Comparing the impacts of carbon tax and carbon emission trading, which regulation is more effective? Journal of Environmental Management, 330, 117156. https://doi.org/10.1016/j.jenvman.2022.117156")</f>
        <v>Xu, H., Pan, X., Li, J., Feng, S., &amp; Guo, S. (2023). Comparing the impacts of carbon tax and carbon emission trading, which regulation is more effective? Journal of Environmental Management, 330, 117156. https://doi.org/10.1016/j.jenvman.2022.117156</v>
      </c>
      <c r="D188" s="1" t="str">
        <f>IFERROR(__xludf.DUMMYFUNCTION("""COMPUTED_VALUE"""),"School of Economics and Management, Dalian University of Technology, Dalian, 116024, China")</f>
        <v>School of Economics and Management, Dalian University of Technology, Dalian, 116024, China</v>
      </c>
      <c r="E188" s="1" t="str">
        <f>IFERROR(__xludf.DUMMYFUNCTION("""COMPUTED_VALUE"""),"MIXED")</f>
        <v>MIXED</v>
      </c>
      <c r="F188" s="1" t="str">
        <f>IFERROR(__xludf.DUMMYFUNCTION("""COMPUTED_VALUE"""),"Carbon Tax and Emissions Trading")</f>
        <v>Carbon Tax and Emissions Trading</v>
      </c>
      <c r="G188" s="1" t="str">
        <f>IFERROR(__xludf.DUMMYFUNCTION("""COMPUTED_VALUE"""),"This article compares and contrasts emission trading scheme and carbon tax. Carbon tax being of greater economic cost, but also outperforming emissions trading schemes. ")</f>
        <v>This article compares and contrasts emission trading scheme and carbon tax. Carbon tax being of greater economic cost, but also outperforming emissions trading schemes. </v>
      </c>
      <c r="H188" s="1" t="str">
        <f>IFERROR(__xludf.DUMMYFUNCTION("""COMPUTED_VALUE"""),"While many literatures have examined the influence of environmental regulation policy, which environmental regulation policy is more effective is still controversial. Taking China and two different economic regions as samples, we explore the effect of two"&amp;" popular environmental regulation policies, that is carbon tax and carbon emission trading, by a multi-regional environmental dynamic computable general equilibrium model. The results show that for the economic development, the carbon emission trading out"&amp;"performs the carbon tax for the carbon emission trading will generate the lower economic cost. But for the emission reductions, the carbon tax outperforms the carbon emission trading for the total emissions from 2020 to 2030 are smallest when introducing "&amp;"carbon tax policy. We further study the effect of environmental regulation on different industries. It is found that the environmental regulation has a more obvious effect on energy industry, heavy industry and transport service industry.")</f>
        <v>While many literatures have examined the influence of environmental regulation policy, which environmental regulation policy is more effective is still controversial. Taking China and two different economic regions as samples, we explore the effect of two popular environmental regulation policies, that is carbon tax and carbon emission trading, by a multi-regional environmental dynamic computable general equilibrium model. The results show that for the economic development, the carbon emission trading outperforms the carbon tax for the carbon emission trading will generate the lower economic cost. But for the emission reductions, the carbon tax outperforms the carbon emission trading for the total emissions from 2020 to 2030 are smallest when introducing carbon tax policy. We further study the effect of environmental regulation on different industries. It is found that the environmental regulation has a more obvious effect on energy industry, heavy industry and transport service industry.</v>
      </c>
      <c r="I188" s="1" t="str">
        <f>IFERROR(__xludf.DUMMYFUNCTION("""COMPUTED_VALUE"""),"George Hillsdale")</f>
        <v>George Hillsdale</v>
      </c>
      <c r="J188" s="1" t="str">
        <f>IFERROR(__xludf.DUMMYFUNCTION("""COMPUTED_VALUE"""),"Wave 2 (due Nov. 8)")</f>
        <v>Wave 2 (due Nov. 8)</v>
      </c>
      <c r="K188" s="5" t="str">
        <f>IFERROR(__xludf.DUMMYFUNCTION("""COMPUTED_VALUE"""),"https://drive.google.com/open?id=1DANCF5AkzGoT9wKUzWvtok-VZwsE0N-w")</f>
        <v>https://drive.google.com/open?id=1DANCF5AkzGoT9wKUzWvtok-VZwsE0N-w</v>
      </c>
      <c r="L188" s="3" t="s">
        <v>2</v>
      </c>
    </row>
    <row r="189">
      <c r="A189" s="4">
        <f>IFERROR(__xludf.DUMMYFUNCTION("""COMPUTED_VALUE"""),45604.75182819444)</f>
        <v>45604.75183</v>
      </c>
      <c r="B189" s="1" t="str">
        <f>IFERROR(__xludf.DUMMYFUNCTION("""COMPUTED_VALUE"""),"alexmooney256@gmail.com")</f>
        <v>alexmooney256@gmail.com</v>
      </c>
      <c r="C189" s="1" t="str">
        <f>IFERROR(__xludf.DUMMYFUNCTION("""COMPUTED_VALUE"""),"Davis, L. W., Hausman, C., &amp; Rose, N. L. (2023). Transmission Impossible? Prospects for Decarbonizing the US Grid. The Journal of Economic Perspectives, 37(4), 155–180. https://www.jstor.org/stable/pdf/27258130.pdf?refreqid=fastly-default%3A9c83ce0d9bf7b6"&amp;"0405b6b335352e43ce&amp;ab_segments=&amp;initiator=&amp;acceptTC=1")</f>
        <v>Davis, L. W., Hausman, C., &amp; Rose, N. L. (2023). Transmission Impossible? Prospects for Decarbonizing the US Grid. The Journal of Economic Perspectives, 37(4), 155–180. https://www.jstor.org/stable/pdf/27258130.pdf?refreqid=fastly-default%3A9c83ce0d9bf7b60405b6b335352e43ce&amp;ab_segments=&amp;initiator=&amp;acceptTC=1</v>
      </c>
      <c r="D189" s="1" t="str">
        <f>IFERROR(__xludf.DUMMYFUNCTION("""COMPUTED_VALUE"""),"""Lucas Davis is Jeffrey A. Jacobs Distinguished Professor at the Haas School of Business, University of California—Berkeley, Berkeley, California. Catherine Hausman is Associate Professor, Gerald R. Ford School of Public Policy, University of Michigan, A"&amp;"nn Arbor, Michigan. Nancy L. Rose is Charles P. Kindleberger Professor of Applied Economics, Massachusetts Institute of Technology, Cambridge, Massachusetts.""")</f>
        <v>"Lucas Davis is Jeffrey A. Jacobs Distinguished Professor at the Haas School of Business, University of California—Berkeley, Berkeley, California. Catherine Hausman is Associate Professor, Gerald R. Ford School of Public Policy, University of Michigan, Ann Arbor, Michigan. Nancy L. Rose is Charles P. Kindleberger Professor of Applied Economics, Massachusetts Institute of Technology, Cambridge, Massachusetts."</v>
      </c>
      <c r="E189" s="1" t="str">
        <f>IFERROR(__xludf.DUMMYFUNCTION("""COMPUTED_VALUE"""),"MIXED")</f>
        <v>MIXED</v>
      </c>
      <c r="F189" s="1" t="str">
        <f>IFERROR(__xludf.DUMMYFUNCTION("""COMPUTED_VALUE"""),"National Electric Transmission Plan")</f>
        <v>National Electric Transmission Plan</v>
      </c>
      <c r="G189" s="1" t="str">
        <f>IFERROR(__xludf.DUMMYFUNCTION("""COMPUTED_VALUE"""),"Discusses the need for an increased transmission grid but also talks about the complications in building. Provides important statistics and technological backings for and against building the grid")</f>
        <v>Discusses the need for an increased transmission grid but also talks about the complications in building. Provides important statistics and technological backings for and against building the grid</v>
      </c>
      <c r="H189" s="1" t="str">
        <f>IFERROR(__xludf.DUMMYFUNCTION("""COMPUTED_VALUE"""),"N/A")</f>
        <v>N/A</v>
      </c>
      <c r="I189" s="1" t="str">
        <f>IFERROR(__xludf.DUMMYFUNCTION("""COMPUTED_VALUE"""),"Heid Hillsdale")</f>
        <v>Heid Hillsdale</v>
      </c>
      <c r="J189" s="1" t="str">
        <f>IFERROR(__xludf.DUMMYFUNCTION("""COMPUTED_VALUE"""),"Wave 2 (due Nov. 8)")</f>
        <v>Wave 2 (due Nov. 8)</v>
      </c>
      <c r="K189" s="5" t="str">
        <f>IFERROR(__xludf.DUMMYFUNCTION("""COMPUTED_VALUE"""),"https://drive.google.com/open?id=12mHvGiKqOYdvKcD1h_dmFqG2qPSuvyJq")</f>
        <v>https://drive.google.com/open?id=12mHvGiKqOYdvKcD1h_dmFqG2qPSuvyJq</v>
      </c>
      <c r="L189" s="3" t="s">
        <v>2</v>
      </c>
    </row>
    <row r="190">
      <c r="A190" s="4">
        <f>IFERROR(__xludf.DUMMYFUNCTION("""COMPUTED_VALUE"""),45604.75546515046)</f>
        <v>45604.75547</v>
      </c>
      <c r="B190" s="1" t="str">
        <f>IFERROR(__xludf.DUMMYFUNCTION("""COMPUTED_VALUE"""),"alexmooney256@gmail.com")</f>
        <v>alexmooney256@gmail.com</v>
      </c>
      <c r="C190" s="1" t="str">
        <f>IFERROR(__xludf.DUMMYFUNCTION("""COMPUTED_VALUE"""),"Gramlich, R. Caspary, J. (2021). PLANNING FOR THE FUTURE FERC’S OPPORTUNITY TO SPUR MORE COST-EFFECTIVE TRANSMISSION INFRASTRUCTURE. Americans for a Clean Energy Grid.")</f>
        <v>Gramlich, R. Caspary, J. (2021). PLANNING FOR THE FUTURE FERC’S OPPORTUNITY TO SPUR MORE COST-EFFECTIVE TRANSMISSION INFRASTRUCTURE. Americans for a Clean Energy Grid.</v>
      </c>
      <c r="D190" s="1" t="str">
        <f>IFERROR(__xludf.DUMMYFUNCTION("""COMPUTED_VALUE"""),"Gramlich is President of Grid Strategies LLC, a Washington DC-based consultancy focused on transmission and power markets for a reliable, affordable, and sustainable power system. Rob has a Master of Public Policy (MPP) degree from UC Berkeley. Caspary is"&amp;" VP of Grid Strategies LLC. Before that, he oversaw Research, Development &amp; Tariff Services for the Southwest Power Pool.")</f>
        <v>Gramlich is President of Grid Strategies LLC, a Washington DC-based consultancy focused on transmission and power markets for a reliable, affordable, and sustainable power system. Rob has a Master of Public Policy (MPP) degree from UC Berkeley. Caspary is VP of Grid Strategies LLC. Before that, he oversaw Research, Development &amp; Tariff Services for the Southwest Power Pool.</v>
      </c>
      <c r="E190" s="1" t="str">
        <f>IFERROR(__xludf.DUMMYFUNCTION("""COMPUTED_VALUE"""),"MIXED")</f>
        <v>MIXED</v>
      </c>
      <c r="F190" s="1" t="str">
        <f>IFERROR(__xludf.DUMMYFUNCTION("""COMPUTED_VALUE"""),"National Electric Transmission Plan")</f>
        <v>National Electric Transmission Plan</v>
      </c>
      <c r="G190" s="1" t="str">
        <f>IFERROR(__xludf.DUMMYFUNCTION("""COMPUTED_VALUE"""),"Provides lots of specifics on how the grid currently works and how it should be changed, especially related to costs and cost sharing, could also be used for CPs")</f>
        <v>Provides lots of specifics on how the grid currently works and how it should be changed, especially related to costs and cost sharing, could also be used for CPs</v>
      </c>
      <c r="H190" s="1" t="str">
        <f>IFERROR(__xludf.DUMMYFUNCTION("""COMPUTED_VALUE"""),"N/A")</f>
        <v>N/A</v>
      </c>
      <c r="I190" s="1" t="str">
        <f>IFERROR(__xludf.DUMMYFUNCTION("""COMPUTED_VALUE"""),"Mooney Hillsdale")</f>
        <v>Mooney Hillsdale</v>
      </c>
      <c r="J190" s="1" t="str">
        <f>IFERROR(__xludf.DUMMYFUNCTION("""COMPUTED_VALUE"""),"Wave 2 (due Nov. 8)")</f>
        <v>Wave 2 (due Nov. 8)</v>
      </c>
      <c r="K190" s="5" t="str">
        <f>IFERROR(__xludf.DUMMYFUNCTION("""COMPUTED_VALUE"""),"https://drive.google.com/open?id=1cNwqyi9KKH7Ir_BCx5j815AI3CoOqVrO")</f>
        <v>https://drive.google.com/open?id=1cNwqyi9KKH7Ir_BCx5j815AI3CoOqVrO</v>
      </c>
      <c r="L190" s="3" t="s">
        <v>2</v>
      </c>
    </row>
    <row r="191">
      <c r="A191" s="4">
        <f>IFERROR(__xludf.DUMMYFUNCTION("""COMPUTED_VALUE"""),45604.759980648145)</f>
        <v>45604.75998</v>
      </c>
      <c r="B191" s="1" t="str">
        <f>IFERROR(__xludf.DUMMYFUNCTION("""COMPUTED_VALUE"""),"alexmooney256@gmail.com")</f>
        <v>alexmooney256@gmail.com</v>
      </c>
      <c r="C191" s="1" t="str">
        <f>IFERROR(__xludf.DUMMYFUNCTION("""COMPUTED_VALUE"""),"Mocca, E. (2019). The local dimension in the degrowth literature. A critical discussion. Journal of Political Ideologies, 25(1), 78–93. https://doi.org/10.1080/13569317.2019.1696926")</f>
        <v>Mocca, E. (2019). The local dimension in the degrowth literature. A critical discussion. Journal of Political Ideologies, 25(1), 78–93. https://doi.org/10.1080/13569317.2019.1696926</v>
      </c>
      <c r="D191" s="1" t="str">
        <f>IFERROR(__xludf.DUMMYFUNCTION("""COMPUTED_VALUE"""),"Department of Sociology, University of Vienna, Vienna, Austria")</f>
        <v>Department of Sociology, University of Vienna, Vienna, Austria</v>
      </c>
      <c r="E191" s="1" t="str">
        <f>IFERROR(__xludf.DUMMYFUNCTION("""COMPUTED_VALUE"""),"MIXED")</f>
        <v>MIXED</v>
      </c>
      <c r="F191" s="1" t="str">
        <f>IFERROR(__xludf.DUMMYFUNCTION("""COMPUTED_VALUE"""),"Degrowth")</f>
        <v>Degrowth</v>
      </c>
      <c r="G191" s="1" t="str">
        <f>IFERROR(__xludf.DUMMYFUNCTION("""COMPUTED_VALUE"""),"Discusses the centrality of localism to degrowth and mostly criticizes it")</f>
        <v>Discusses the centrality of localism to degrowth and mostly criticizes it</v>
      </c>
      <c r="H191" s="1" t="str">
        <f>IFERROR(__xludf.DUMMYFUNCTION("""COMPUTED_VALUE"""),"Degrowth is establishing itself as a theory within the ecological and post-development scholarship. At the core of degrowth is a local-centric perspective, whereby small urban agglomerations are considered as the key actors of the political and economic s"&amp;"ystem of an imagined post-consumerist and post-capitalist society. Degrowth proponents thus argue that the fundamental steps to achieve a truly democratic, socially just and ecological society should be taken at local level. However, in the degrowth theor"&amp;"y a thorough debate about why the local level would be the most suitable spatial units to achieve degrowth is scarce. The importance of the small urban size appears to be axiomatic, rather than supported by substantive arguments. By engaging with non-main"&amp;"stream strands of green political thought, this paper critically reflects upon the local-centred perspective at the core of the degrowth theory, identifying its main practical and theoretical shortcomings.")</f>
        <v>Degrowth is establishing itself as a theory within the ecological and post-development scholarship. At the core of degrowth is a local-centric perspective, whereby small urban agglomerations are considered as the key actors of the political and economic system of an imagined post-consumerist and post-capitalist society. Degrowth proponents thus argue that the fundamental steps to achieve a truly democratic, socially just and ecological society should be taken at local level. However, in the degrowth theory a thorough debate about why the local level would be the most suitable spatial units to achieve degrowth is scarce. The importance of the small urban size appears to be axiomatic, rather than supported by substantive arguments. By engaging with non-mainstream strands of green political thought, this paper critically reflects upon the local-centred perspective at the core of the degrowth theory, identifying its main practical and theoretical shortcomings.</v>
      </c>
      <c r="I191" s="1" t="str">
        <f>IFERROR(__xludf.DUMMYFUNCTION("""COMPUTED_VALUE"""),"Mooney Hillsdale")</f>
        <v>Mooney Hillsdale</v>
      </c>
      <c r="J191" s="1" t="str">
        <f>IFERROR(__xludf.DUMMYFUNCTION("""COMPUTED_VALUE"""),"Wave 2 (due Nov. 8)")</f>
        <v>Wave 2 (due Nov. 8)</v>
      </c>
      <c r="K191" s="5" t="str">
        <f>IFERROR(__xludf.DUMMYFUNCTION("""COMPUTED_VALUE"""),"https://drive.google.com/open?id=1dDsmEUOo0j8Hb6i9o9pCSLi-rp2WRwis")</f>
        <v>https://drive.google.com/open?id=1dDsmEUOo0j8Hb6i9o9pCSLi-rp2WRwis</v>
      </c>
      <c r="L191" s="3" t="s">
        <v>2</v>
      </c>
    </row>
    <row r="192">
      <c r="A192" s="4">
        <f>IFERROR(__xludf.DUMMYFUNCTION("""COMPUTED_VALUE"""),45604.77399715278)</f>
        <v>45604.774</v>
      </c>
      <c r="B192" s="1" t="str">
        <f>IFERROR(__xludf.DUMMYFUNCTION("""COMPUTED_VALUE"""),"tzabolio@gmail.com")</f>
        <v>tzabolio@gmail.com</v>
      </c>
      <c r="C192" s="1" t="str">
        <f>IFERROR(__xludf.DUMMYFUNCTION("""COMPUTED_VALUE"""),"Noble, Blair Fix. “A Tour of the Jevons Paradox: How Energy Efficiency Backfires.” Economics from the Top Down, 18 May 2024, www.economicsfromthetopdown.com/2024/05/18/a-tour-of-the-jevons-paradox-how-energy-efficiency-backfires/.")</f>
        <v>Noble, Blair Fix. “A Tour of the Jevons Paradox: How Energy Efficiency Backfires.” Economics from the Top Down, 18 May 2024, www.economicsfromthetopdown.com/2024/05/18/a-tour-of-the-jevons-paradox-how-energy-efficiency-backfires/.</v>
      </c>
      <c r="D192" s="1" t="str">
        <f>IFERROR(__xludf.DUMMYFUNCTION("""COMPUTED_VALUE"""),"Political economist")</f>
        <v>Political economist</v>
      </c>
      <c r="E192" s="1" t="str">
        <f>IFERROR(__xludf.DUMMYFUNCTION("""COMPUTED_VALUE"""),"NEGATIVE")</f>
        <v>NEGATIVE</v>
      </c>
      <c r="F192" s="1" t="str">
        <f>IFERROR(__xludf.DUMMYFUNCTION("""COMPUTED_VALUE"""),"Ext - Jevons Paradox (REMs)")</f>
        <v>Ext - Jevons Paradox (REMs)</v>
      </c>
      <c r="G192" s="1" t="str">
        <f>IFERROR(__xludf.DUMMYFUNCTION("""COMPUTED_VALUE"""),"This argument furthers the Jevons Paradox argument about how increased efficiency in renewable energy will lead to overconsumption that eventually obfuscates the benefits of renewables. This will be a key negative article for the REMs DA.")</f>
        <v>This argument furthers the Jevons Paradox argument about how increased efficiency in renewable energy will lead to overconsumption that eventually obfuscates the benefits of renewables. This will be a key negative article for the REMs DA.</v>
      </c>
      <c r="H192" s="1"/>
      <c r="I192" s="1" t="str">
        <f>IFERROR(__xludf.DUMMYFUNCTION("""COMPUTED_VALUE"""),"Fix - Economists from the Top Down")</f>
        <v>Fix - Economists from the Top Down</v>
      </c>
      <c r="J192" s="1" t="str">
        <f>IFERROR(__xludf.DUMMYFUNCTION("""COMPUTED_VALUE"""),"Wave 2 (due Nov. 8)")</f>
        <v>Wave 2 (due Nov. 8)</v>
      </c>
      <c r="K192" s="5" t="str">
        <f>IFERROR(__xludf.DUMMYFUNCTION("""COMPUTED_VALUE"""),"https://drive.google.com/open?id=1xfsFM4OQrGSksq5xMp1GUWNwaqS6qn3M")</f>
        <v>https://drive.google.com/open?id=1xfsFM4OQrGSksq5xMp1GUWNwaqS6qn3M</v>
      </c>
      <c r="L192" s="3" t="s">
        <v>2</v>
      </c>
    </row>
    <row r="193">
      <c r="A193" s="4">
        <f>IFERROR(__xludf.DUMMYFUNCTION("""COMPUTED_VALUE"""),45604.78597210648)</f>
        <v>45604.78597</v>
      </c>
      <c r="B193" s="1" t="str">
        <f>IFERROR(__xludf.DUMMYFUNCTION("""COMPUTED_VALUE"""),"alexmooney256@gmail.com")</f>
        <v>alexmooney256@gmail.com</v>
      </c>
      <c r="C193" s="1" t="str">
        <f>IFERROR(__xludf.DUMMYFUNCTION("""COMPUTED_VALUE"""),"Li, X. Zhou, Y. M. (2016). Offshoring Production while Offshoring Pollution? Center for Economic Studies")</f>
        <v>Li, X. Zhou, Y. M. (2016). Offshoring Production while Offshoring Pollution? Center for Economic Studies</v>
      </c>
      <c r="D193" s="1" t="str">
        <f>IFERROR(__xludf.DUMMYFUNCTION("""COMPUTED_VALUE"""),"Li: Cheung Kong Graduate School of Business, China. Zhou: Stephen M. Ross School of Business, University of Michigan.")</f>
        <v>Li: Cheung Kong Graduate School of Business, China. Zhou: Stephen M. Ross School of Business, University of Michigan.</v>
      </c>
      <c r="E193" s="1" t="str">
        <f>IFERROR(__xludf.DUMMYFUNCTION("""COMPUTED_VALUE"""),"MIXED")</f>
        <v>MIXED</v>
      </c>
      <c r="F193" s="1" t="str">
        <f>IFERROR(__xludf.DUMMYFUNCTION("""COMPUTED_VALUE"""),"Offshoring")</f>
        <v>Offshoring</v>
      </c>
      <c r="G193" s="1" t="str">
        <f>IFERROR(__xludf.DUMMYFUNCTION("""COMPUTED_VALUE"""),"Argues that while U.S. production is cleaner than production abroad, US firms are moving prodcution and pollution to the developing world which is unust and net harming the planet, links to many arguments with critical global perspective")</f>
        <v>Argues that while U.S. production is cleaner than production abroad, US firms are moving prodcution and pollution to the developing world which is unust and net harming the planet, links to many arguments with critical global perspective</v>
      </c>
      <c r="H193" s="1" t="str">
        <f>IFERROR(__xludf.DUMMYFUNCTION("""COMPUTED_VALUE"""),"We combine international trade data from the U.S. Census Bureau with Toxics Release Inventory data from the Environmental Protection Agency to investigate the relationship between U.S. firms’ imports from low-wage countries (LWCs) and toxic emissions by t"&amp;"heir domestic plants. We find that plants release less toxic emissions on American soil when their parent firm imports more from LWCs. According to our estimates, when a plant’s parent firm increases its share of imports from LWCs by 10 percentage points,"&amp;" the plant’s toxic emissions on American soil decrease by about 4%. These effects are stronger for plants facing greater institutional pressures on environmental performance, such as plants located in dirtier U.S. counties. In addition, goods imported by "&amp;"U.S. firms from LWCs are in more pollution-intensive industries than goods imported from the rest of the world. Taken together, our results provide the first large-sample empirical evidence that U.S. firms offshore both production and pollution to the dev"&amp;"eloping world.")</f>
        <v>We combine international trade data from the U.S. Census Bureau with Toxics Release Inventory data from the Environmental Protection Agency to investigate the relationship between U.S. firms’ imports from low-wage countries (LWCs) and toxic emissions by their domestic plants. We find that plants release less toxic emissions on American soil when their parent firm imports more from LWCs. According to our estimates, when a plant’s parent firm increases its share of imports from LWCs by 10 percentage points, the plant’s toxic emissions on American soil decrease by about 4%. These effects are stronger for plants facing greater institutional pressures on environmental performance, such as plants located in dirtier U.S. counties. In addition, goods imported by U.S. firms from LWCs are in more pollution-intensive industries than goods imported from the rest of the world. Taken together, our results provide the first large-sample empirical evidence that U.S. firms offshore both production and pollution to the developing world.</v>
      </c>
      <c r="I193" s="1" t="str">
        <f>IFERROR(__xludf.DUMMYFUNCTION("""COMPUTED_VALUE"""),"Mooney Hillsdale")</f>
        <v>Mooney Hillsdale</v>
      </c>
      <c r="J193" s="1" t="str">
        <f>IFERROR(__xludf.DUMMYFUNCTION("""COMPUTED_VALUE"""),"Wave 2 (due Nov. 8)")</f>
        <v>Wave 2 (due Nov. 8)</v>
      </c>
      <c r="K193" s="5" t="str">
        <f>IFERROR(__xludf.DUMMYFUNCTION("""COMPUTED_VALUE"""),"https://drive.google.com/open?id=1qnRDV61oxmpQEtzE0nNAyOJk44qlx3_f")</f>
        <v>https://drive.google.com/open?id=1qnRDV61oxmpQEtzE0nNAyOJk44qlx3_f</v>
      </c>
      <c r="L193" s="3" t="s">
        <v>2</v>
      </c>
    </row>
    <row r="194">
      <c r="A194" s="4">
        <f>IFERROR(__xludf.DUMMYFUNCTION("""COMPUTED_VALUE"""),45604.79327155092)</f>
        <v>45604.79327</v>
      </c>
      <c r="B194" s="1" t="str">
        <f>IFERROR(__xludf.DUMMYFUNCTION("""COMPUTED_VALUE"""),"alexmooney256@gmail.com")</f>
        <v>alexmooney256@gmail.com</v>
      </c>
      <c r="C194" s="1" t="str">
        <f>IFERROR(__xludf.DUMMYFUNCTION("""COMPUTED_VALUE"""),"Zhao, A., Song, X., Li, J., Yuan, Q., Pei, Y., Li, R., &amp; Hitch, M. (2023). Effects of Carbon Tax on Urban Carbon Emission Reduction: Evidence in China Environmental Governance. International journal of environmental research and public health, 20(3), 2289"&amp;". https://doi.org/10.3390/ijerph20032289")</f>
        <v>Zhao, A., Song, X., Li, J., Yuan, Q., Pei, Y., Li, R., &amp; Hitch, M. (2023). Effects of Carbon Tax on Urban Carbon Emission Reduction: Evidence in China Environmental Governance. International journal of environmental research and public health, 20(3), 2289. https://doi.org/10.3390/ijerph20032289</v>
      </c>
      <c r="D194" s="1" t="str">
        <f>IFERROR(__xludf.DUMMYFUNCTION("""COMPUTED_VALUE"""),"College of Finance, Institute of High-Quality Development in Huaihai Economic Zone, Xuzhou University of Technology, Xuzhou 221018, China")</f>
        <v>College of Finance, Institute of High-Quality Development in Huaihai Economic Zone, Xuzhou University of Technology, Xuzhou 221018, China</v>
      </c>
      <c r="E194" s="1" t="str">
        <f>IFERROR(__xludf.DUMMYFUNCTION("""COMPUTED_VALUE"""),"MIXED")</f>
        <v>MIXED</v>
      </c>
      <c r="F194" s="1" t="str">
        <f>IFERROR(__xludf.DUMMYFUNCTION("""COMPUTED_VALUE"""),"Carbon Tax")</f>
        <v>Carbon Tax</v>
      </c>
      <c r="G194" s="1" t="str">
        <f>IFERROR(__xludf.DUMMYFUNCTION("""COMPUTED_VALUE"""),"Discusses the effects of a carbon tax in light of empirics from China and its environmental policy, and discusses adverse effects it creates.")</f>
        <v>Discusses the effects of a carbon tax in light of empirics from China and its environmental policy, and discusses adverse effects it creates.</v>
      </c>
      <c r="H194" s="1" t="str">
        <f>IFERROR(__xludf.DUMMYFUNCTION("""COMPUTED_VALUE"""),"Carbon tax is an important economic instrument in achieving the goal of carbon emission reduction and sustainable development. This paper investigates the effects of carbon tax on carbon emission reduction in China. First, a non-competitive input–output t"&amp;"able for Carbon Emissions of 28 sectors in China after Carbon Tax was established, based on the “2018 China Non-competitive Input–Output Table (42 Sectors)” and the carbon emission data of sectors provided by China Carbon Emission Accounts and Datasets (C"&amp;"EADs). Then, an input–output price model was established to study the changes on product price, GDP, employment, and carbon dioxide emissions of 28 sectors after carbon taxing ranged from 10 to 200. When the carbon tax rate reaches 200 yuan/ton, the infla"&amp;"tion rate will be 5.907%, the total GDP will be decreased to 1.910%, the total labor force will be decreased to 1.744%, and the total carbon emission reduction rate will be increased to 8.171%. Results showed that with the increases in carbon tax, the inf"&amp;"lation rate was increased, the rate of carbon emission reduction was increased, and the negative effects on GDP and employment were also increased. Suggestions on policy making, such as combination of carbon taxing and carbon trading, dynamic adjustment m"&amp;"echanism, tax neutrality, and forcing active carbon reduction, were proposed to minimize the adverse effect of levying carbon tax. The results from this paper would provide a reference for the policy making on carbon management.")</f>
        <v>Carbon tax is an important economic instrument in achieving the goal of carbon emission reduction and sustainable development. This paper investigates the effects of carbon tax on carbon emission reduction in China. First, a non-competitive input–output table for Carbon Emissions of 28 sectors in China after Carbon Tax was established, based on the “2018 China Non-competitive Input–Output Table (42 Sectors)” and the carbon emission data of sectors provided by China Carbon Emission Accounts and Datasets (CEADs). Then, an input–output price model was established to study the changes on product price, GDP, employment, and carbon dioxide emissions of 28 sectors after carbon taxing ranged from 10 to 200. When the carbon tax rate reaches 200 yuan/ton, the inflation rate will be 5.907%, the total GDP will be decreased to 1.910%, the total labor force will be decreased to 1.744%, and the total carbon emission reduction rate will be increased to 8.171%. Results showed that with the increases in carbon tax, the inflation rate was increased, the rate of carbon emission reduction was increased, and the negative effects on GDP and employment were also increased. Suggestions on policy making, such as combination of carbon taxing and carbon trading, dynamic adjustment mechanism, tax neutrality, and forcing active carbon reduction, were proposed to minimize the adverse effect of levying carbon tax. The results from this paper would provide a reference for the policy making on carbon management.</v>
      </c>
      <c r="I194" s="1" t="str">
        <f>IFERROR(__xludf.DUMMYFUNCTION("""COMPUTED_VALUE"""),"Heid Hillsdale")</f>
        <v>Heid Hillsdale</v>
      </c>
      <c r="J194" s="1" t="str">
        <f>IFERROR(__xludf.DUMMYFUNCTION("""COMPUTED_VALUE"""),"Wave 2 (due Nov. 8)")</f>
        <v>Wave 2 (due Nov. 8)</v>
      </c>
      <c r="K194" s="5" t="str">
        <f>IFERROR(__xludf.DUMMYFUNCTION("""COMPUTED_VALUE"""),"https://drive.google.com/open?id=1qwdX9MGnI5s3eKb0G4rhdsuIjz__JFEV")</f>
        <v>https://drive.google.com/open?id=1qwdX9MGnI5s3eKb0G4rhdsuIjz__JFEV</v>
      </c>
      <c r="L194" s="3" t="s">
        <v>2</v>
      </c>
    </row>
    <row r="195">
      <c r="A195" s="4">
        <f>IFERROR(__xludf.DUMMYFUNCTION("""COMPUTED_VALUE"""),45604.81064778935)</f>
        <v>45604.81065</v>
      </c>
      <c r="B195" s="1" t="str">
        <f>IFERROR(__xludf.DUMMYFUNCTION("""COMPUTED_VALUE"""),"sshajina@asu.edu")</f>
        <v>sshajina@asu.edu</v>
      </c>
      <c r="C195" s="1" t="str">
        <f>IFERROR(__xludf.DUMMYFUNCTION("""COMPUTED_VALUE"""),"Ashraf, M., &amp; Bocca, R. (2023, June). Fostering Effective Energy Transition 2023 edition. https://www3.weforum.org/docs/WEF_Fostering_Effective_Energy_Transition_2023.pdf ")</f>
        <v>Ashraf, M., &amp; Bocca, R. (2023, June). Fostering Effective Energy Transition 2023 edition. https://www3.weforum.org/docs/WEF_Fostering_Effective_Energy_Transition_2023.pdf </v>
      </c>
      <c r="D195" s="1" t="str">
        <f>IFERROR(__xludf.DUMMYFUNCTION("""COMPUTED_VALUE"""),"Head of World Economic Forum")</f>
        <v>Head of World Economic Forum</v>
      </c>
      <c r="E195" s="1" t="str">
        <f>IFERROR(__xludf.DUMMYFUNCTION("""COMPUTED_VALUE"""),"MIXED")</f>
        <v>MIXED</v>
      </c>
      <c r="F195" s="1" t="str">
        <f>IFERROR(__xludf.DUMMYFUNCTION("""COMPUTED_VALUE"""),"National Electric Transmission Plan")</f>
        <v>National Electric Transmission Plan</v>
      </c>
      <c r="G195" s="1" t="str">
        <f>IFERROR(__xludf.DUMMYFUNCTION("""COMPUTED_VALUE"""),"The primary arguments are-Most of the nordic. countries have been effectively been able to transition into renewable energy. China has had a huge boost in transitioning as well.")</f>
        <v>The primary arguments are-Most of the nordic. countries have been effectively been able to transition into renewable energy. China has had a huge boost in transitioning as well.</v>
      </c>
      <c r="H195" s="1"/>
      <c r="I195" s="1" t="str">
        <f>IFERROR(__xludf.DUMMYFUNCTION("""COMPUTED_VALUE"""),"Nambiar ASU")</f>
        <v>Nambiar ASU</v>
      </c>
      <c r="J195" s="1" t="str">
        <f>IFERROR(__xludf.DUMMYFUNCTION("""COMPUTED_VALUE"""),"Wave 2 (due Nov. 8)")</f>
        <v>Wave 2 (due Nov. 8)</v>
      </c>
      <c r="K195" s="5" t="str">
        <f>IFERROR(__xludf.DUMMYFUNCTION("""COMPUTED_VALUE"""),"https://drive.google.com/open?id=1mpNtM6wNOZjKqzmHwXTbkUNQ2zzU02d4")</f>
        <v>https://drive.google.com/open?id=1mpNtM6wNOZjKqzmHwXTbkUNQ2zzU02d4</v>
      </c>
      <c r="L195" s="3" t="s">
        <v>2</v>
      </c>
    </row>
    <row r="196">
      <c r="A196" s="4">
        <f>IFERROR(__xludf.DUMMYFUNCTION("""COMPUTED_VALUE"""),45604.84816915509)</f>
        <v>45604.84817</v>
      </c>
      <c r="B196" s="1" t="str">
        <f>IFERROR(__xludf.DUMMYFUNCTION("""COMPUTED_VALUE"""),"kaelyn.a.w@gmail.com")</f>
        <v>kaelyn.a.w@gmail.com</v>
      </c>
      <c r="C196" s="1" t="str">
        <f>IFERROR(__xludf.DUMMYFUNCTION("""COMPUTED_VALUE"""),"Wickerson, G., Burton, A., &amp; Laitner, J. (2024, April 3). When America Goes Dark, What Comes Next? Federation of American Scientists. https://fas.org/publication/grid-failure-extreme-heat/")</f>
        <v>Wickerson, G., Burton, A., &amp; Laitner, J. (2024, April 3). When America Goes Dark, What Comes Next? Federation of American Scientists. https://fas.org/publication/grid-failure-extreme-heat/</v>
      </c>
      <c r="D196" s="1" t="str">
        <f>IFERROR(__xludf.DUMMYFUNCTION("""COMPUTED_VALUE"""),"Grace Wickerson is the Health Equity Policy Manager at the Federation of American Scientists. Autumn Burton is the Senior Associate of Climate, Health, and Environment at the Federation of American Scientists. John Laitner was chief economist for Third In"&amp;"dustrial Revolution master plan initiative spearheaded by Jeremy Rifkin. A frequently invited lecturer, and a past university graduate instructor, Skip is author of more than 320 reports, book chapters and journal articles. He holds a 1988 Master’s of Art"&amp;"s degree in resource economics from Antioch University.")</f>
        <v>Grace Wickerson is the Health Equity Policy Manager at the Federation of American Scientists. Autumn Burton is the Senior Associate of Climate, Health, and Environment at the Federation of American Scientists. John Laitner was chief economist for Third Industrial Revolution master plan initiative spearheaded by Jeremy Rifkin. A frequently invited lecturer, and a past university graduate instructor, Skip is author of more than 320 reports, book chapters and journal articles. He holds a 1988 Master’s of Arts degree in resource economics from Antioch University.</v>
      </c>
      <c r="E196" s="1" t="str">
        <f>IFERROR(__xludf.DUMMYFUNCTION("""COMPUTED_VALUE"""),"MIXED")</f>
        <v>MIXED</v>
      </c>
      <c r="F196" s="1" t="str">
        <f>IFERROR(__xludf.DUMMYFUNCTION("""COMPUTED_VALUE"""),"National Electric Transmission Plan")</f>
        <v>National Electric Transmission Plan</v>
      </c>
      <c r="G196" s="1" t="str">
        <f>IFERROR(__xludf.DUMMYFUNCTION("""COMPUTED_VALUE"""),"This article offers multiple scenarios for the impact of grid failure and offers suggestions for how to solve it, some of which can be used as solvency deficits to the affirmative. ")</f>
        <v>This article offers multiple scenarios for the impact of grid failure and offers suggestions for how to solve it, some of which can be used as solvency deficits to the affirmative. </v>
      </c>
      <c r="H196" s="1"/>
      <c r="I196" s="1" t="str">
        <f>IFERROR(__xludf.DUMMYFUNCTION("""COMPUTED_VALUE"""),"Wellman Gonzaga")</f>
        <v>Wellman Gonzaga</v>
      </c>
      <c r="J196" s="1" t="str">
        <f>IFERROR(__xludf.DUMMYFUNCTION("""COMPUTED_VALUE"""),"Wave 2 (due Nov. 8)")</f>
        <v>Wave 2 (due Nov. 8)</v>
      </c>
      <c r="K196" s="5" t="str">
        <f>IFERROR(__xludf.DUMMYFUNCTION("""COMPUTED_VALUE"""),"https://drive.google.com/open?id=1nZGjUkHhXjxrpCXYl8znudy6h8ZrtkYL")</f>
        <v>https://drive.google.com/open?id=1nZGjUkHhXjxrpCXYl8znudy6h8ZrtkYL</v>
      </c>
      <c r="L196" s="3" t="s">
        <v>2</v>
      </c>
    </row>
    <row r="197">
      <c r="A197" s="4">
        <f>IFERROR(__xludf.DUMMYFUNCTION("""COMPUTED_VALUE"""),45604.85332353009)</f>
        <v>45604.85332</v>
      </c>
      <c r="B197" s="1" t="str">
        <f>IFERROR(__xludf.DUMMYFUNCTION("""COMPUTED_VALUE"""),"kaelyn.a.w@gmail.com")</f>
        <v>kaelyn.a.w@gmail.com</v>
      </c>
      <c r="C197" s="1" t="str">
        <f>IFERROR(__xludf.DUMMYFUNCTION("""COMPUTED_VALUE"""),"Franziska Müller. (2024). Energy Colonialism. Journal of Political Ecology, 31(1). https://doi.org/10.2458/jpe.5659")</f>
        <v>Franziska Müller. (2024). Energy Colonialism. Journal of Political Ecology, 31(1). https://doi.org/10.2458/jpe.5659</v>
      </c>
      <c r="D197" s="1" t="str">
        <f>IFERROR(__xludf.DUMMYFUNCTION("""COMPUTED_VALUE"""),"Franziska Müller is a junior lecturer in political science at the University of Hamburg. ")</f>
        <v>Franziska Müller is a junior lecturer in political science at the University of Hamburg. </v>
      </c>
      <c r="E197" s="1" t="str">
        <f>IFERROR(__xludf.DUMMYFUNCTION("""COMPUTED_VALUE"""),"NEGATIVE")</f>
        <v>NEGATIVE</v>
      </c>
      <c r="F197" s="1" t="str">
        <f>IFERROR(__xludf.DUMMYFUNCTION("""COMPUTED_VALUE"""),"Settler Colonialism K")</f>
        <v>Settler Colonialism K</v>
      </c>
      <c r="G197" s="1" t="str">
        <f>IFERROR(__xludf.DUMMYFUNCTION("""COMPUTED_VALUE"""),"This article provides a description of Energy Colonialism and multiple perspectives within the debate. It offers more links against the affirmative. ")</f>
        <v>This article provides a description of Energy Colonialism and multiple perspectives within the debate. It offers more links against the affirmative. </v>
      </c>
      <c r="H197" s="1" t="str">
        <f>IFERROR(__xludf.DUMMYFUNCTION("""COMPUTED_VALUE"""),"Energy colonialism is an essential, yet scarcely theorized concept for understanding how past, present and future energy systems are shaped by colonial or neocolonial power dynamics, imaginaries, discourses, and practices. These perspectives are important"&amp;" for contemporary debates on energy transition processes, namely with regard to green finance flows, new green geopolitics, and energy governance. Energy colonialism becomes manifest as power over energy transition processes, as an epistemic force with re"&amp;"gard to knowledge orders and knowledge transfer, but also as an intervention on an individual scale, affecting daily life and human-nature relations. Colonial continuities are pervading contemporary energy debates, for instance in the ‘run-up’ for green h"&amp;"ydrogen produced the Global South to sustain economic growth in the Global North, in colonial imaginaries of terra nullius conceptions reproduced in energy partnerships, and not least in financial dependencies that stabilize the political economy of clean"&amp;" energy. Reconstructing how different understandings of energy colonialism entered political and academic debate, this article provides an account of its history of ideas and demonstrates how a lack of theoretical underpinning limits analytical rigor and "&amp;"activist work. To close this gap, I engage with the concept of coloniality in use, and suggest a more nuanced understanding of energy colonialism. A nine-field matrix demonstrates how energy colonialism becomes manifest on different levels of energy trans"&amp;"itions and how the concept may serve as a multidimensional research strategy for critical social science research on energy transitions and modes of energy governance, energy infrastructures, and energy subjectivities.")</f>
        <v>Energy colonialism is an essential, yet scarcely theorized concept for understanding how past, present and future energy systems are shaped by colonial or neocolonial power dynamics, imaginaries, discourses, and practices. These perspectives are important for contemporary debates on energy transition processes, namely with regard to green finance flows, new green geopolitics, and energy governance. Energy colonialism becomes manifest as power over energy transition processes, as an epistemic force with regard to knowledge orders and knowledge transfer, but also as an intervention on an individual scale, affecting daily life and human-nature relations. Colonial continuities are pervading contemporary energy debates, for instance in the ‘run-up’ for green hydrogen produced the Global South to sustain economic growth in the Global North, in colonial imaginaries of terra nullius conceptions reproduced in energy partnerships, and not least in financial dependencies that stabilize the political economy of clean energy. Reconstructing how different understandings of energy colonialism entered political and academic debate, this article provides an account of its history of ideas and demonstrates how a lack of theoretical underpinning limits analytical rigor and activist work. To close this gap, I engage with the concept of coloniality in use, and suggest a more nuanced understanding of energy colonialism. A nine-field matrix demonstrates how energy colonialism becomes manifest on different levels of energy transitions and how the concept may serve as a multidimensional research strategy for critical social science research on energy transitions and modes of energy governance, energy infrastructures, and energy subjectivities.</v>
      </c>
      <c r="I197" s="1" t="str">
        <f>IFERROR(__xludf.DUMMYFUNCTION("""COMPUTED_VALUE"""),"Wellman Gonzaga ")</f>
        <v>Wellman Gonzaga </v>
      </c>
      <c r="J197" s="1" t="str">
        <f>IFERROR(__xludf.DUMMYFUNCTION("""COMPUTED_VALUE"""),"Wave 2 (due Nov. 8)")</f>
        <v>Wave 2 (due Nov. 8)</v>
      </c>
      <c r="K197" s="5" t="str">
        <f>IFERROR(__xludf.DUMMYFUNCTION("""COMPUTED_VALUE"""),"https://drive.google.com/open?id=1abeX2L4AVqo3963YQ77xnOafxuaGzP4N")</f>
        <v>https://drive.google.com/open?id=1abeX2L4AVqo3963YQ77xnOafxuaGzP4N</v>
      </c>
      <c r="L197" s="3" t="s">
        <v>1</v>
      </c>
    </row>
    <row r="198">
      <c r="A198" s="4">
        <f>IFERROR(__xludf.DUMMYFUNCTION("""COMPUTED_VALUE"""),45604.85983244213)</f>
        <v>45604.85983</v>
      </c>
      <c r="B198" s="1" t="str">
        <f>IFERROR(__xludf.DUMMYFUNCTION("""COMPUTED_VALUE"""),"kaelyn.a.w@gmail.com")</f>
        <v>kaelyn.a.w@gmail.com</v>
      </c>
      <c r="C198" s="1" t="str">
        <f>IFERROR(__xludf.DUMMYFUNCTION("""COMPUTED_VALUE"""),"Department of Energy Grid Deployment Office. (2023, January 19). How Are We Making the Grid More Resilient and Reliable for Everyone? Energy.gov. https://www.energy.gov/gdo/articles/how-are-we-making-grid-more-resilient-and-reliable-everyone")</f>
        <v>Department of Energy Grid Deployment Office. (2023, January 19). How Are We Making the Grid More Resilient and Reliable for Everyone? Energy.gov. https://www.energy.gov/gdo/articles/how-are-we-making-grid-more-resilient-and-reliable-everyone</v>
      </c>
      <c r="D198" s="1" t="str">
        <f>IFERROR(__xludf.DUMMYFUNCTION("""COMPUTED_VALUE"""),"The Department of Energy is the federal agency in charge of energy concerns. ")</f>
        <v>The Department of Energy is the federal agency in charge of energy concerns. </v>
      </c>
      <c r="E198" s="1" t="str">
        <f>IFERROR(__xludf.DUMMYFUNCTION("""COMPUTED_VALUE"""),"NEGATIVE")</f>
        <v>NEGATIVE</v>
      </c>
      <c r="F198" s="1" t="str">
        <f>IFERROR(__xludf.DUMMYFUNCTION("""COMPUTED_VALUE"""),"Impact defense for grids ")</f>
        <v>Impact defense for grids </v>
      </c>
      <c r="G198" s="1" t="str">
        <f>IFERROR(__xludf.DUMMYFUNCTION("""COMPUTED_VALUE"""),"This article describes multiple initiatives by the Department of Energy to create grid resiliency. This functions as defense and an inherency takeout against affirmative's that use grid impacts.  ")</f>
        <v>This article describes multiple initiatives by the Department of Energy to create grid resiliency. This functions as defense and an inherency takeout against affirmative's that use grid impacts.  </v>
      </c>
      <c r="H198" s="1"/>
      <c r="I198" s="1" t="str">
        <f>IFERROR(__xludf.DUMMYFUNCTION("""COMPUTED_VALUE"""),"Wellman Gonzaga ")</f>
        <v>Wellman Gonzaga </v>
      </c>
      <c r="J198" s="1" t="str">
        <f>IFERROR(__xludf.DUMMYFUNCTION("""COMPUTED_VALUE"""),"Wave 2 (due Nov. 8)")</f>
        <v>Wave 2 (due Nov. 8)</v>
      </c>
      <c r="K198" s="5" t="str">
        <f>IFERROR(__xludf.DUMMYFUNCTION("""COMPUTED_VALUE"""),"https://drive.google.com/open?id=1IW0gu2vPTN3rmP_r0VPytUUFfjlcnNIw")</f>
        <v>https://drive.google.com/open?id=1IW0gu2vPTN3rmP_r0VPytUUFfjlcnNIw</v>
      </c>
      <c r="L198" s="3" t="s">
        <v>2</v>
      </c>
    </row>
    <row r="199">
      <c r="A199" s="4">
        <f>IFERROR(__xludf.DUMMYFUNCTION("""COMPUTED_VALUE"""),45604.8730468287)</f>
        <v>45604.87305</v>
      </c>
      <c r="B199" s="1" t="str">
        <f>IFERROR(__xludf.DUMMYFUNCTION("""COMPUTED_VALUE"""),"jumpingchesshorse@gmail.com")</f>
        <v>jumpingchesshorse@gmail.com</v>
      </c>
      <c r="C199" s="1" t="str">
        <f>IFERROR(__xludf.DUMMYFUNCTION("""COMPUTED_VALUE"""),"Kime, S., Jacome, V., Pellow, D., &amp; Deshmukh, R. (2023). Evaluating equity and justice in low-carbon energy transitions. Environmental Research Letters, 18. https://doi.org/10.1088/1748-9326/ad08f8.")</f>
        <v>Kime, S., Jacome, V., Pellow, D., &amp; Deshmukh, R. (2023). Evaluating equity and justice in low-carbon energy transitions. Environmental Research Letters, 18. https://doi.org/10.1088/1748-9326/ad08f8.</v>
      </c>
      <c r="D199" s="1" t="str">
        <f>IFERROR(__xludf.DUMMYFUNCTION("""COMPUTED_VALUE"""),"It comes from a publication on environmental issues")</f>
        <v>It comes from a publication on environmental issues</v>
      </c>
      <c r="E199" s="1" t="str">
        <f>IFERROR(__xludf.DUMMYFUNCTION("""COMPUTED_VALUE"""),"MIXED")</f>
        <v>MIXED</v>
      </c>
      <c r="F199" s="1" t="str">
        <f>IFERROR(__xludf.DUMMYFUNCTION("""COMPUTED_VALUE"""),"Shift to Renewables")</f>
        <v>Shift to Renewables</v>
      </c>
      <c r="G199" s="1" t="str">
        <f>IFERROR(__xludf.DUMMYFUNCTION("""COMPUTED_VALUE"""),"Mixed article with arguments for why Renewable transition is bad")</f>
        <v>Mixed article with arguments for why Renewable transition is bad</v>
      </c>
      <c r="H199" s="1"/>
      <c r="I199" s="1" t="str">
        <f>IFERROR(__xludf.DUMMYFUNCTION("""COMPUTED_VALUE"""),"Parkin WSU")</f>
        <v>Parkin WSU</v>
      </c>
      <c r="J199" s="1" t="str">
        <f>IFERROR(__xludf.DUMMYFUNCTION("""COMPUTED_VALUE"""),"Wave 2 (due Nov. 8)")</f>
        <v>Wave 2 (due Nov. 8)</v>
      </c>
      <c r="K199" s="5" t="str">
        <f>IFERROR(__xludf.DUMMYFUNCTION("""COMPUTED_VALUE"""),"https://drive.google.com/open?id=1QQdG5loTr9Rzjah__PpUd29Kfr61VrEH")</f>
        <v>https://drive.google.com/open?id=1QQdG5loTr9Rzjah__PpUd29Kfr61VrEH</v>
      </c>
      <c r="L199" s="3" t="s">
        <v>1</v>
      </c>
    </row>
    <row r="200">
      <c r="A200" s="4">
        <f>IFERROR(__xludf.DUMMYFUNCTION("""COMPUTED_VALUE"""),45604.883967534726)</f>
        <v>45604.88397</v>
      </c>
      <c r="B200" s="1" t="str">
        <f>IFERROR(__xludf.DUMMYFUNCTION("""COMPUTED_VALUE"""),"leybasam@gmail.com")</f>
        <v>leybasam@gmail.com</v>
      </c>
      <c r="C200" s="1" t="str">
        <f>IFERROR(__xludf.DUMMYFUNCTION("""COMPUTED_VALUE"""),"Daniel A. Lyons, Protecting States in the New World of Energy Federalism, 67 Emory L. J. 921 (2018).")</f>
        <v>Daniel A. Lyons, Protecting States in the New World of Energy Federalism, 67 Emory L. J. 921 (2018).</v>
      </c>
      <c r="D200" s="1" t="str">
        <f>IFERROR(__xludf.DUMMYFUNCTION("""COMPUTED_VALUE"""),"Associate Professor of Law, Boston College Law School.")</f>
        <v>Associate Professor of Law, Boston College Law School.</v>
      </c>
      <c r="E200" s="1" t="str">
        <f>IFERROR(__xludf.DUMMYFUNCTION("""COMPUTED_VALUE"""),"MIXED")</f>
        <v>MIXED</v>
      </c>
      <c r="F200" s="1" t="str">
        <f>IFERROR(__xludf.DUMMYFUNCTION("""COMPUTED_VALUE"""),"Federalism/RTO CP")</f>
        <v>Federalism/RTO CP</v>
      </c>
      <c r="G200" s="1" t="str">
        <f>IFERROR(__xludf.DUMMYFUNCTION("""COMPUTED_VALUE"""),"Does a great analysis of energy federalism and provides ways for local voices to be included in policy making.")</f>
        <v>Does a great analysis of energy federalism and provides ways for local voices to be included in policy making.</v>
      </c>
      <c r="H200" s="1" t="str">
        <f>IFERROR(__xludf.DUMMYFUNCTION("""COMPUTED_VALUE"""),"In a trilogy of recent cases, the Supreme Court has launched a quiet
revolution in energy federalism. With little fanfare, it has abandoned its
decades-long effort to divide electricity regulation into mutually exclusive
spheres of federal and state autho"&amp;"rity. Instead it has embraced a more
sophisticated concurrent jurisdiction model—against the wishes of Justice
Scalia, who opposed this transformation in his final published dissent.
This Article explores the ramifications of this revolution, particularly"&amp;" for
state energy regulators. The shift to concurrent jurisdiction is long overdue.
The historic model of the local vertically integrated utility has long been
replaced by regional, complex, innovative electricity markets. Concurrent
jurisdiction allows r"&amp;"egulators to adapt more nimbly to changing market
dynamics, unrestrained by the outdated formalism of the old dual federalism
model.
But this shift raises important questions regarding how states can remain
relevant in an increasingly complex regulatory e"&amp;"nvironment without the
judicial safeguards that the dual federalism model once provided. States
remain vital sources of local knowledge, experimentation, and expertise. But in
this brave new world of concurrent jurisdiction, federalism-related disputes
ar"&amp;"e more likely to be settled in the political arena than in the courtroom—an
arena where federal authorities have the advantage. Drawing upon recent
scholarship in negotiation theory and dynamic federalism, this Article
discusses ways that state officials "&amp;"can, and do, negotiate with their federal
counterparts to maintain influence over energy policy decisions. It also
highlights procedural reforms that would improve the robustness and
effectiveness of negotiations between state and federal officials in the"&amp;" policymaking sphere and therefore improve the likelihood that policy decisions
will be sensitive to federalism concerns.")</f>
        <v>In a trilogy of recent cases, the Supreme Court has launched a quiet
revolution in energy federalism. With little fanfare, it has abandoned its
decades-long effort to divide electricity regulation into mutually exclusive
spheres of federal and state authority. Instead it has embraced a more
sophisticated concurrent jurisdiction model—against the wishes of Justice
Scalia, who opposed this transformation in his final published dissent.
This Article explores the ramifications of this revolution, particularly for
state energy regulators. The shift to concurrent jurisdiction is long overdue.
The historic model of the local vertically integrated utility has long been
replaced by regional, complex, innovative electricity markets. Concurrent
jurisdiction allows regulators to adapt more nimbly to changing market
dynamics, unrestrained by the outdated formalism of the old dual federalism
model.
But this shift raises important questions regarding how states can remain
relevant in an increasingly complex regulatory environment without the
judicial safeguards that the dual federalism model once provided. States
remain vital sources of local knowledge, experimentation, and expertise. But in
this brave new world of concurrent jurisdiction, federalism-related disputes
are more likely to be settled in the political arena than in the courtroom—an
arena where federal authorities have the advantage. Drawing upon recent
scholarship in negotiation theory and dynamic federalism, this Article
discusses ways that state officials can, and do, negotiate with their federal
counterparts to maintain influence over energy policy decisions. It also
highlights procedural reforms that would improve the robustness and
effectiveness of negotiations between state and federal officials in the policymaking sphere and therefore improve the likelihood that policy decisions
will be sensitive to federalism concerns.</v>
      </c>
      <c r="I200" s="1" t="str">
        <f>IFERROR(__xludf.DUMMYFUNCTION("""COMPUTED_VALUE"""),"Leyba UO")</f>
        <v>Leyba UO</v>
      </c>
      <c r="J200" s="1" t="str">
        <f>IFERROR(__xludf.DUMMYFUNCTION("""COMPUTED_VALUE"""),"Wave 2 (due Nov. 8)")</f>
        <v>Wave 2 (due Nov. 8)</v>
      </c>
      <c r="K200" s="5" t="str">
        <f>IFERROR(__xludf.DUMMYFUNCTION("""COMPUTED_VALUE"""),"https://drive.google.com/open?id=1TylX4s8WNduvRQ_Q1-V4JzGrsnUVcn8f")</f>
        <v>https://drive.google.com/open?id=1TylX4s8WNduvRQ_Q1-V4JzGrsnUVcn8f</v>
      </c>
      <c r="L200" s="3" t="s">
        <v>2</v>
      </c>
    </row>
    <row r="201">
      <c r="A201" s="4">
        <f>IFERROR(__xludf.DUMMYFUNCTION("""COMPUTED_VALUE"""),45604.88607820602)</f>
        <v>45604.88608</v>
      </c>
      <c r="B201" s="1" t="str">
        <f>IFERROR(__xludf.DUMMYFUNCTION("""COMPUTED_VALUE"""),"leybasam@gmail.com")</f>
        <v>leybasam@gmail.com</v>
      </c>
      <c r="C201" s="1" t="str">
        <f>IFERROR(__xludf.DUMMYFUNCTION("""COMPUTED_VALUE"""),"Klass, Alexandra et al. 2022. Grid Reliability Through Clean Energy. Stanford Law Review Volume 74.")</f>
        <v>Klass, Alexandra et al. 2022. Grid Reliability Through Clean Energy. Stanford Law Review Volume 74.</v>
      </c>
      <c r="D201" s="1" t="str">
        <f>IFERROR(__xludf.DUMMYFUNCTION("""COMPUTED_VALUE"""),"Alexandra Klass is a Distinguished McKnight University Professor, University of Minnesota Law School. Joshua Macey is an Assistant Professor, University of Chicago Law School. Shelley Welton is the Presidential Distinguished Professor of Law and Energy Po"&amp;"licy, University of Pennsylvania Carey Law School. Hannah Wiseman is a Professor of Law, a Wilson Faculty Fellow in the College of Earth and Mineral Sciences, and a Co-funded Faculty Member, Institutes of Energy and the Environment, Pennsylvania State Uni"&amp;"versity.")</f>
        <v>Alexandra Klass is a Distinguished McKnight University Professor, University of Minnesota Law School. Joshua Macey is an Assistant Professor, University of Chicago Law School. Shelley Welton is the Presidential Distinguished Professor of Law and Energy Policy, University of Pennsylvania Carey Law School. Hannah Wiseman is a Professor of Law, a Wilson Faculty Fellow in the College of Earth and Mineral Sciences, and a Co-funded Faculty Member, Institutes of Energy and the Environment, Pennsylvania State University.</v>
      </c>
      <c r="E201" s="1" t="str">
        <f>IFERROR(__xludf.DUMMYFUNCTION("""COMPUTED_VALUE"""),"NEGATIVE")</f>
        <v>NEGATIVE</v>
      </c>
      <c r="F201" s="1" t="str">
        <f>IFERROR(__xludf.DUMMYFUNCTION("""COMPUTED_VALUE"""),"Federalism/RTO CP")</f>
        <v>Federalism/RTO CP</v>
      </c>
      <c r="G201" s="1" t="str">
        <f>IFERROR(__xludf.DUMMYFUNCTION("""COMPUTED_VALUE"""),"This Article shows that much of the perceived tension between clean energy and
reliability is a failure of law and governance resulting from the United States’ siloed
approach to regulating the electric grid. Energy regulation is, we argue, siloed across "&amp;"three
dimensions: (1) across substantive responsibilities (clean energy versus reliability);
(2) across jurisdictions (federal, regional, state, and sometimes local); and (3) across a
public–private continuum of actors. This segmentation renders the full "&amp;"convergence of
clean-energy and reliability goals extremely difficult. Reliability-focused organizations
operating within their silos routinely counteract climate policies when making decisions
about how to keep the lights on. Similarly, legal silos often"&amp;" cause states and regional
organizations to neglect valuable opportunities for collaboration.")</f>
        <v>This Article shows that much of the perceived tension between clean energy and
reliability is a failure of law and governance resulting from the United States’ siloed
approach to regulating the electric grid. Energy regulation is, we argue, siloed across three
dimensions: (1) across substantive responsibilities (clean energy versus reliability);
(2) across jurisdictions (federal, regional, state, and sometimes local); and (3) across a
public–private continuum of actors. This segmentation renders the full convergence of
clean-energy and reliability goals extremely difficult. Reliability-focused organizations
operating within their silos routinely counteract climate policies when making decisions
about how to keep the lights on. Similarly, legal silos often cause states and regional
organizations to neglect valuable opportunities for collaboration.</v>
      </c>
      <c r="H201" s="1" t="str">
        <f>IFERROR(__xludf.DUMMYFUNCTION("""COMPUTED_VALUE"""),"Provides legal basis for RTO's to have authority over planning and citing. Provides for strong impact claims for the CP. ")</f>
        <v>Provides legal basis for RTO's to have authority over planning and citing. Provides for strong impact claims for the CP. </v>
      </c>
      <c r="I201" s="1" t="str">
        <f>IFERROR(__xludf.DUMMYFUNCTION("""COMPUTED_VALUE"""),"Leyba UO")</f>
        <v>Leyba UO</v>
      </c>
      <c r="J201" s="1" t="str">
        <f>IFERROR(__xludf.DUMMYFUNCTION("""COMPUTED_VALUE"""),"Wave 2 (due Nov. 8)")</f>
        <v>Wave 2 (due Nov. 8)</v>
      </c>
      <c r="K201" s="5" t="str">
        <f>IFERROR(__xludf.DUMMYFUNCTION("""COMPUTED_VALUE"""),"https://drive.google.com/open?id=1R3ofIFeP5yPEzRxDiXteaa1LvtalmmwH")</f>
        <v>https://drive.google.com/open?id=1R3ofIFeP5yPEzRxDiXteaa1LvtalmmwH</v>
      </c>
      <c r="L201" s="3" t="s">
        <v>2</v>
      </c>
    </row>
    <row r="202">
      <c r="A202" s="4">
        <f>IFERROR(__xludf.DUMMYFUNCTION("""COMPUTED_VALUE"""),45604.887658182866)</f>
        <v>45604.88766</v>
      </c>
      <c r="B202" s="1" t="str">
        <f>IFERROR(__xludf.DUMMYFUNCTION("""COMPUTED_VALUE"""),"leybasam@gmail.com")</f>
        <v>leybasam@gmail.com</v>
      </c>
      <c r="C202" s="1" t="str">
        <f>IFERROR(__xludf.DUMMYFUNCTION("""COMPUTED_VALUE"""),"Walters D. &amp; Kleit A. 2023. Grid Governance in the Energy-Trilemma Era: Remedying The Democracy Deficit")</f>
        <v>Walters D. &amp; Kleit A. 2023. Grid Governance in the Energy-Trilemma Era: Remedying The Democracy Deficit</v>
      </c>
      <c r="D202" s="1" t="str">
        <f>IFERROR(__xludf.DUMMYFUNCTION("""COMPUTED_VALUE"""),"Associate Professor of Law, Texas A&amp;M University School of Law. ** Professor of Energy and Environmental Economics, Department of Energy and Mineral Engineering, Pennsylvania State University")</f>
        <v>Associate Professor of Law, Texas A&amp;M University School of Law. ** Professor of Energy and Environmental Economics, Department of Energy and Mineral Engineering, Pennsylvania State University</v>
      </c>
      <c r="E202" s="1" t="str">
        <f>IFERROR(__xludf.DUMMYFUNCTION("""COMPUTED_VALUE"""),"AFFIRMATIVE")</f>
        <v>AFFIRMATIVE</v>
      </c>
      <c r="F202" s="1" t="str">
        <f>IFERROR(__xludf.DUMMYFUNCTION("""COMPUTED_VALUE"""),"RTO CP")</f>
        <v>RTO CP</v>
      </c>
      <c r="G202" s="1" t="str">
        <f>IFERROR(__xludf.DUMMYFUNCTION("""COMPUTED_VALUE"""),"This answers the RTO CP. It argues that RTO's are bought by the carbon lobby and have no incentive to decarbonize. RTO's also undermine democratic participation and federalism")</f>
        <v>This answers the RTO CP. It argues that RTO's are bought by the carbon lobby and have no incentive to decarbonize. RTO's also undermine democratic participation and federalism</v>
      </c>
      <c r="H202" s="1" t="str">
        <f>IFERROR(__xludf.DUMMYFUNCTION("""COMPUTED_VALUE"""),"Transforming the electric power grid is central to any viable scenario for addressing global climate change,
but the process and politics of this transformation are complex. The desire to transform the grid creates
an “energy trilemma” involving often con"&amp;"flicting desires for reliability, cost, and decarbonization, and at
least in the short run, it is difficult to avoid making trade-offs between these different goals. It is somewhat
shocking then that many crucial decisions about electric power service in "&amp;"the United States are made not
by consumers or their utilities, nor by state public utilities commissions or federal regulators. Instead, for
much of the country, those decisions are made by entities known as regional transmission organizations
(RTOs). Th"&amp;"ese RTOs, which straddle and blur the boundary between private and public methods of
social ordering, establish and run wholesale electricity markets, coordinate dispatch, keep the grid in
balance, and plan infrastructure for the grid of the future. These"&amp;" responsibilities put RTOs at the center
of the energy trilemma—a position that sits in significant tension with their ambiguous status, incentives,
and accountability.
To fully understand how RTOs work and the role they play in the energy transition, it "&amp;"is necessary to
examine where they came from, what assumptions animated their creation, and, finally, how those
assumptions have been undermined by the changing landscape of the energy sector. This Article aims to
both explain what RTOs have become and hi"&amp;"ghlight what might need to change to make them effective
arbiters of the tensions at the heart of the energy trilemma. Our central argument is that RTOs emerged
as institutions wedded to a peculiar model of democratic regulatory governance—corporatism—tha"&amp;"t no
longer fits in the trilemma era. Corporatist governance lodges responsibility for negotiating public policy
in an exclusive committee of representative stakeholders from the private sphere, and this neatly
encapsulates the historical roots and contem"&amp;"porary practice of RTOs. However, we argue that the
challenges facing the corporatist model of grid governance have become intractable, as the energy trilemma
has not only raised the stakes of the trade-offs involved but has also introduced new trade-offs"&amp;" and new
stakeholders who have no seat at the corporatist table. As a result, a democratic deficit threatens to
impede efforts to navigate the energy trilemma unless reforms are implemented—specifically, reforms to
make RTOs more open and responsive to th"&amp;"e full range of stakeholders in the energy-trilemma era.")</f>
        <v>Transforming the electric power grid is central to any viable scenario for addressing global climate change,
but the process and politics of this transformation are complex. The desire to transform the grid creates
an “energy trilemma” involving often conflicting desires for reliability, cost, and decarbonization, and at
least in the short run, it is difficult to avoid making trade-offs between these different goals. It is somewhat
shocking then that many crucial decisions about electric power service in the United States are made not
by consumers or their utilities, nor by state public utilities commissions or federal regulators. Instead, for
much of the country, those decisions are made by entities known as regional transmission organizations
(RTOs). These RTOs, which straddle and blur the boundary between private and public methods of
social ordering, establish and run wholesale electricity markets, coordinate dispatch, keep the grid in
balance, and plan infrastructure for the grid of the future. These responsibilities put RTOs at the center
of the energy trilemma—a position that sits in significant tension with their ambiguous status, incentives,
and accountability.
To fully understand how RTOs work and the role they play in the energy transition, it is necessary to
examine where they came from, what assumptions animated their creation, and, finally, how those
assumptions have been undermined by the changing landscape of the energy sector. This Article aims to
both explain what RTOs have become and highlight what might need to change to make them effective
arbiters of the tensions at the heart of the energy trilemma. Our central argument is that RTOs emerged
as institutions wedded to a peculiar model of democratic regulatory governance—corporatism—that no
longer fits in the trilemma era. Corporatist governance lodges responsibility for negotiating public policy
in an exclusive committee of representative stakeholders from the private sphere, and this neatly
encapsulates the historical roots and contemporary practice of RTOs. However, we argue that the
challenges facing the corporatist model of grid governance have become intractable, as the energy trilemma
has not only raised the stakes of the trade-offs involved but has also introduced new trade-offs and new
stakeholders who have no seat at the corporatist table. As a result, a democratic deficit threatens to
impede efforts to navigate the energy trilemma unless reforms are implemented—specifically, reforms to
make RTOs more open and responsive to the full range of stakeholders in the energy-trilemma era.</v>
      </c>
      <c r="I202" s="1" t="str">
        <f>IFERROR(__xludf.DUMMYFUNCTION("""COMPUTED_VALUE"""),"Leyba, UO")</f>
        <v>Leyba, UO</v>
      </c>
      <c r="J202" s="1" t="str">
        <f>IFERROR(__xludf.DUMMYFUNCTION("""COMPUTED_VALUE"""),"Wave 2 (due Nov. 8)")</f>
        <v>Wave 2 (due Nov. 8)</v>
      </c>
      <c r="K202" s="5" t="str">
        <f>IFERROR(__xludf.DUMMYFUNCTION("""COMPUTED_VALUE"""),"https://drive.google.com/open?id=1LEia24WR-ZzAY9IN7bdujbqCYD_HVgtd")</f>
        <v>https://drive.google.com/open?id=1LEia24WR-ZzAY9IN7bdujbqCYD_HVgtd</v>
      </c>
      <c r="L202" s="3" t="s">
        <v>2</v>
      </c>
    </row>
    <row r="203">
      <c r="A203" s="4">
        <f>IFERROR(__xludf.DUMMYFUNCTION("""COMPUTED_VALUE"""),45604.88769005787)</f>
        <v>45604.88769</v>
      </c>
      <c r="B203" s="1" t="str">
        <f>IFERROR(__xludf.DUMMYFUNCTION("""COMPUTED_VALUE"""),"larryfiggins8892@gmail.com")</f>
        <v>larryfiggins8892@gmail.com</v>
      </c>
      <c r="C203" s="1" t="str">
        <f>IFERROR(__xludf.DUMMYFUNCTION("""COMPUTED_VALUE"""),"Contreras, J. Ruiz, A. Campos-Celador, A. Fjellheim, E. (2023) Energy Colonialism: A category to analyse the corporate energy transition in the global south and north, Land, Volume 12, Issue 6, https://doi.org/10.3390/land12061241  ")</f>
        <v>Contreras, J. Ruiz, A. Campos-Celador, A. Fjellheim, E. (2023) Energy Colonialism: A category to analyse the corporate energy transition in the global south and north, Land, Volume 12, Issue 6, https://doi.org/10.3390/land12061241  </v>
      </c>
      <c r="D203" s="1" t="str">
        <f>IFERROR(__xludf.DUMMYFUNCTION("""COMPUTED_VALUE"""),"Josefa Sánchez Contreras is a researcher in the Department of Sociology at the University of Granada with an MSc in Latin American Studies at the National Autonomous University of Mexico.Alberto Matarán Ruiz is a Professor of Urban and Spatial Planning at"&amp;" the University of Granada with a Ph.D. in Environmental Sciences obtained in 2005. Álvaro Campos Celador is an Associate Professor and Researcher at the University of the Basque Country (UPV-EHU). He graduated as a Mechanical Engineer in 2008. Eva Maria "&amp;"Fjellheim is a southern Saami researcher at the Arctic University of Norway. Her research focuses on indigenous peoples’ rights, with an emphasis on the study of “green colonialism”: a land-grabbing strategy legitimized by hegemonic climate change policie"&amp;"s that perpetuate relations of domination and coloniality.   ")</f>
        <v>Josefa Sánchez Contreras is a researcher in the Department of Sociology at the University of Granada with an MSc in Latin American Studies at the National Autonomous University of Mexico.Alberto Matarán Ruiz is a Professor of Urban and Spatial Planning at the University of Granada with a Ph.D. in Environmental Sciences obtained in 2005. Álvaro Campos Celador is an Associate Professor and Researcher at the University of the Basque Country (UPV-EHU). He graduated as a Mechanical Engineer in 2008. Eva Maria Fjellheim is a southern Saami researcher at the Arctic University of Norway. Her research focuses on indigenous peoples’ rights, with an emphasis on the study of “green colonialism”: a land-grabbing strategy legitimized by hegemonic climate change policies that perpetuate relations of domination and coloniality.   </v>
      </c>
      <c r="E203" s="1" t="str">
        <f>IFERROR(__xludf.DUMMYFUNCTION("""COMPUTED_VALUE"""),"NEGATIVE")</f>
        <v>NEGATIVE</v>
      </c>
      <c r="F203" s="1" t="str">
        <f>IFERROR(__xludf.DUMMYFUNCTION("""COMPUTED_VALUE"""),"REM Disad/Setcol K")</f>
        <v>REM Disad/Setcol K</v>
      </c>
      <c r="G203" s="1" t="str">
        <f>IFERROR(__xludf.DUMMYFUNCTION("""COMPUTED_VALUE"""),"The article argues against the possibility of a just energy transition, and gives case study examples of colonial exploitation in the search for greener energy. This is an extension of the REM arguments, that seeks to add further depth to the argument and"&amp;" tie it with existing literature on colonialism. ")</f>
        <v>The article argues against the possibility of a just energy transition, and gives case study examples of colonial exploitation in the search for greener energy. This is an extension of the REM arguments, that seeks to add further depth to the argument and tie it with existing literature on colonialism. </v>
      </c>
      <c r="H203" s="1" t="str">
        <f>IFERROR(__xludf.DUMMYFUNCTION("""COMPUTED_VALUE"""),"This article aims to define the category of energy colonialism in order to analyse the conflicts
that are arising due to the deployment of renewable energy megaprojects in the Global South and in
the peripheries of the Global North. First, the limits of t"&amp;"he corporate energy transition are questioned,
and based on an exhaustive bibliographic review, the category of energy colonialism is formulated
along with six dimensions that characterise it: geopolitical; economic and financial inequalities; power,
viol"&amp;"ence, and decision making; land grabbing and dispossession; impacts on territories and commons;
resistance and socio-territorial conflicts. Based on this framework, we analyse and juxtapose different
expressions of energy colonialism in four case studies;"&amp;" the isthmus of Tehuantepec (Oaxaca, Mexico),
the territories of Western Sahara occupied by Morocco, the Saami territory in Norway, and the rural
territories of Spain. The results from this study allow us to conclude that energy colonialism is a
useful co"&amp;"ncept for understanding and critiquing the effects of the corporate energy transition and
establishing a base for grassroots and decolonial alternatives in both the Global North and South.")</f>
        <v>This article aims to define the category of energy colonialism in order to analyse the conflicts
that are arising due to the deployment of renewable energy megaprojects in the Global South and in
the peripheries of the Global North. First, the limits of the corporate energy transition are questioned,
and based on an exhaustive bibliographic review, the category of energy colonialism is formulated
along with six dimensions that characterise it: geopolitical; economic and financial inequalities; power,
violence, and decision making; land grabbing and dispossession; impacts on territories and commons;
resistance and socio-territorial conflicts. Based on this framework, we analyse and juxtapose different
expressions of energy colonialism in four case studies; the isthmus of Tehuantepec (Oaxaca, Mexico),
the territories of Western Sahara occupied by Morocco, the Saami territory in Norway, and the rural
territories of Spain. The results from this study allow us to conclude that energy colonialism is a
useful concept for understanding and critiquing the effects of the corporate energy transition and
establishing a base for grassroots and decolonial alternatives in both the Global North and South.</v>
      </c>
      <c r="I203" s="1" t="str">
        <f>IFERROR(__xludf.DUMMYFUNCTION("""COMPUTED_VALUE"""),"King WWU")</f>
        <v>King WWU</v>
      </c>
      <c r="J203" s="1" t="str">
        <f>IFERROR(__xludf.DUMMYFUNCTION("""COMPUTED_VALUE"""),"Wave 2 (due Nov. 8)")</f>
        <v>Wave 2 (due Nov. 8)</v>
      </c>
      <c r="K203" s="5" t="str">
        <f>IFERROR(__xludf.DUMMYFUNCTION("""COMPUTED_VALUE"""),"https://drive.google.com/open?id=1vBh_4_MbeBECukbo_AoMij-zYss8x8zk")</f>
        <v>https://drive.google.com/open?id=1vBh_4_MbeBECukbo_AoMij-zYss8x8zk</v>
      </c>
      <c r="L203" s="3" t="s">
        <v>1</v>
      </c>
    </row>
    <row r="204">
      <c r="A204" s="4">
        <f>IFERROR(__xludf.DUMMYFUNCTION("""COMPUTED_VALUE"""),45604.90216199074)</f>
        <v>45604.90216</v>
      </c>
      <c r="B204" s="1" t="str">
        <f>IFERROR(__xludf.DUMMYFUNCTION("""COMPUTED_VALUE"""),"larryfiggins8892@gmail.com")</f>
        <v>larryfiggins8892@gmail.com</v>
      </c>
      <c r="C204" s="1" t="str">
        <f>IFERROR(__xludf.DUMMYFUNCTION("""COMPUTED_VALUE"""),"Curley, A. (2021). Resources is just anothe word for colonialism. The Routledge hadnbook of critical resource geography, 1st edition, 79-89 ")</f>
        <v>Curley, A. (2021). Resources is just anothe word for colonialism. The Routledge hadnbook of critical resource geography, 1st edition, 79-89 </v>
      </c>
      <c r="D204" s="1" t="str">
        <f>IFERROR(__xludf.DUMMYFUNCTION("""COMPUTED_VALUE"""),"Andrew Curley is an associate professor at the university of arizona. His research focuses on the everyday incorporation of indigenous nations into colonial economies, and writes on how indigenous communities understand and are affected by coal, energy, l"&amp;"and, water, infrastructure, and development in an era of energy transition and climate change. (https://geography.arizona.edu/person/andrew-curley)")</f>
        <v>Andrew Curley is an associate professor at the university of arizona. His research focuses on the everyday incorporation of indigenous nations into colonial economies, and writes on how indigenous communities understand and are affected by coal, energy, land, water, infrastructure, and development in an era of energy transition and climate change. (https://geography.arizona.edu/person/andrew-curley)</v>
      </c>
      <c r="E204" s="1" t="str">
        <f>IFERROR(__xludf.DUMMYFUNCTION("""COMPUTED_VALUE"""),"NEGATIVE")</f>
        <v>NEGATIVE</v>
      </c>
      <c r="F204" s="1" t="str">
        <f>IFERROR(__xludf.DUMMYFUNCTION("""COMPUTED_VALUE"""),"SetCol K/REM disad")</f>
        <v>SetCol K/REM disad</v>
      </c>
      <c r="G204" s="1" t="str">
        <f>IFERROR(__xludf.DUMMYFUNCTION("""COMPUTED_VALUE"""),"The way we understand resources shapes our understanding of their use, value, and the role of indigenous communities. This article focuses on the Navajo Nation to discuss ontologies of resources, sustainability, and energy transitions. It argues that our "&amp;"understanding of 'resources,' down to the word itself, is based in a colonial ideology and we should move to decolonize our understanding of them. ")</f>
        <v>The way we understand resources shapes our understanding of their use, value, and the role of indigenous communities. This article focuses on the Navajo Nation to discuss ontologies of resources, sustainability, and energy transitions. It argues that our understanding of 'resources,' down to the word itself, is based in a colonial ideology and we should move to decolonize our understanding of them. </v>
      </c>
      <c r="H204" s="1" t="str">
        <f>IFERROR(__xludf.DUMMYFUNCTION("""COMPUTED_VALUE"""),"None available")</f>
        <v>None available</v>
      </c>
      <c r="I204" s="1" t="str">
        <f>IFERROR(__xludf.DUMMYFUNCTION("""COMPUTED_VALUE"""),"King WWU")</f>
        <v>King WWU</v>
      </c>
      <c r="J204" s="1" t="str">
        <f>IFERROR(__xludf.DUMMYFUNCTION("""COMPUTED_VALUE"""),"Wave 2 (due Nov. 8)")</f>
        <v>Wave 2 (due Nov. 8)</v>
      </c>
      <c r="K204" s="5" t="str">
        <f>IFERROR(__xludf.DUMMYFUNCTION("""COMPUTED_VALUE"""),"https://drive.google.com/open?id=1dzk6dJdLoRaTVVBH3zBGvEz8AW4M-C1z")</f>
        <v>https://drive.google.com/open?id=1dzk6dJdLoRaTVVBH3zBGvEz8AW4M-C1z</v>
      </c>
      <c r="L204" s="3" t="s">
        <v>2</v>
      </c>
    </row>
    <row r="205">
      <c r="A205" s="4">
        <f>IFERROR(__xludf.DUMMYFUNCTION("""COMPUTED_VALUE"""),45604.92981016204)</f>
        <v>45604.92981</v>
      </c>
      <c r="B205" s="1" t="str">
        <f>IFERROR(__xludf.DUMMYFUNCTION("""COMPUTED_VALUE"""),"larryfiggins8892@gmail.com")</f>
        <v>larryfiggins8892@gmail.com</v>
      </c>
      <c r="C205" s="1" t="str">
        <f>IFERROR(__xludf.DUMMYFUNCTION("""COMPUTED_VALUE"""),"McGregor, D. (2020). Routledge Handbook of Critical Indigenous Studies, 1st Edition, page 405-419, ISBN: 9780429440229 ")</f>
        <v>McGregor, D. (2020). Routledge Handbook of Critical Indigenous Studies, 1st Edition, page 405-419, ISBN: 9780429440229 </v>
      </c>
      <c r="D205" s="1" t="str">
        <f>IFERROR(__xludf.DUMMYFUNCTION("""COMPUTED_VALUE"""),"Professor Deborah McGregor joined York University’s Osgoode Hall law faculty in 2015 as a cross-appointee with the Faculty of Environmental Studies &amp; Urban Change. Professor McGregor’s research has focused on Indigenous knowledge systems and their various"&amp;" applications in diverse contexts including water and environmental governance, environmental justice, forest policy and management, and sustainable development. Her research has been published in a variety of national and international journals and she h"&amp;"as delivered numerous public and academic presentations relating to Indigenous knowledge systems, governance and sustainability.  (https://www.osgoode.yorku.ca/faculty-and-staff/mcgregor-deborah/)")</f>
        <v>Professor Deborah McGregor joined York University’s Osgoode Hall law faculty in 2015 as a cross-appointee with the Faculty of Environmental Studies &amp; Urban Change. Professor McGregor’s research has focused on Indigenous knowledge systems and their various applications in diverse contexts including water and environmental governance, environmental justice, forest policy and management, and sustainable development. Her research has been published in a variety of national and international journals and she has delivered numerous public and academic presentations relating to Indigenous knowledge systems, governance and sustainability.  (https://www.osgoode.yorku.ca/faculty-and-staff/mcgregor-deborah/)</v>
      </c>
      <c r="E205" s="1" t="str">
        <f>IFERROR(__xludf.DUMMYFUNCTION("""COMPUTED_VALUE"""),"NEGATIVE")</f>
        <v>NEGATIVE</v>
      </c>
      <c r="F205" s="1" t="str">
        <f>IFERROR(__xludf.DUMMYFUNCTION("""COMPUTED_VALUE"""),"SetCol K")</f>
        <v>SetCol K</v>
      </c>
      <c r="G205" s="1" t="str">
        <f>IFERROR(__xludf.DUMMYFUNCTION("""COMPUTED_VALUE"""),"The climate crisis is rooted in colonialism and leading to a planetary genocide of all life. Indigenous communities have long held that their cultural knowledge is key to saving the planet, and while there have been piecemeal adaptations of this knowledge"&amp;", its full potential has not yet been realized. This provides both a link and impact for the SetCol K, as well as a alternative that is germane to the topic")</f>
        <v>The climate crisis is rooted in colonialism and leading to a planetary genocide of all life. Indigenous communities have long held that their cultural knowledge is key to saving the planet, and while there have been piecemeal adaptations of this knowledge, its full potential has not yet been realized. This provides both a link and impact for the SetCol K, as well as a alternative that is germane to the topic</v>
      </c>
      <c r="H205" s="1" t="str">
        <f>IFERROR(__xludf.DUMMYFUNCTION("""COMPUTED_VALUE"""),"A distinct formulation of Indigenous environmental justice (IEJ) is required in order to address the challenges of the ecological crisis as well as the various forms of violence and injustices experienced by Indigenous peoples. Such an approach must be gr"&amp;"ounded in Indigenous worldviews. The legitimacy of global and nation-state political and legal mechanisms are called into question, as these same states and international governing bodies continue to fail Indigenous peoples around the world. This chapter "&amp;"highlights efforts of Indigenous peoples to offer a distinct understanding of IEJ through international Indigenous environmental and climate change declarations. Indigenous nations have diagnosed the causes of the environmental/climate change crisis and s"&amp;"et a path forward for renewed relationships with the Earth. Their diagnosis differs from the approach taken by United Nations and other international organisations that continue to adhere to the same economic, environmental and political paradigms that cr"&amp;"eated the ecological crisis in the first place. Indigenous worldviews and legal traditions in Canada and elsewhere reflect a co-existence with the natural world through which a path to IEJ and a sustainable future can be laid out.")</f>
        <v>A distinct formulation of Indigenous environmental justice (IEJ) is required in order to address the challenges of the ecological crisis as well as the various forms of violence and injustices experienced by Indigenous peoples. Such an approach must be grounded in Indigenous worldviews. The legitimacy of global and nation-state political and legal mechanisms are called into question, as these same states and international governing bodies continue to fail Indigenous peoples around the world. This chapter highlights efforts of Indigenous peoples to offer a distinct understanding of IEJ through international Indigenous environmental and climate change declarations. Indigenous nations have diagnosed the causes of the environmental/climate change crisis and set a path forward for renewed relationships with the Earth. Their diagnosis differs from the approach taken by United Nations and other international organisations that continue to adhere to the same economic, environmental and political paradigms that created the ecological crisis in the first place. Indigenous worldviews and legal traditions in Canada and elsewhere reflect a co-existence with the natural world through which a path to IEJ and a sustainable future can be laid out.</v>
      </c>
      <c r="I205" s="1" t="str">
        <f>IFERROR(__xludf.DUMMYFUNCTION("""COMPUTED_VALUE"""),"King WWU")</f>
        <v>King WWU</v>
      </c>
      <c r="J205" s="1" t="str">
        <f>IFERROR(__xludf.DUMMYFUNCTION("""COMPUTED_VALUE"""),"Wave 2 (due Nov. 8)")</f>
        <v>Wave 2 (due Nov. 8)</v>
      </c>
      <c r="K205" s="5" t="str">
        <f>IFERROR(__xludf.DUMMYFUNCTION("""COMPUTED_VALUE"""),"https://drive.google.com/open?id=1G3MHrL47IO81tFb0lGuMvSKxgeo6mWVp")</f>
        <v>https://drive.google.com/open?id=1G3MHrL47IO81tFb0lGuMvSKxgeo6mWVp</v>
      </c>
      <c r="L205" s="3" t="s">
        <v>2</v>
      </c>
    </row>
    <row r="206">
      <c r="A206" s="4">
        <f>IFERROR(__xludf.DUMMYFUNCTION("""COMPUTED_VALUE"""),45604.93681271991)</f>
        <v>45604.93681</v>
      </c>
      <c r="B206" s="1" t="str">
        <f>IFERROR(__xludf.DUMMYFUNCTION("""COMPUTED_VALUE"""),"larryfiggins8892@gmail.com")</f>
        <v>larryfiggins8892@gmail.com</v>
      </c>
      <c r="C206" s="1" t="str">
        <f>IFERROR(__xludf.DUMMYFUNCTION("""COMPUTED_VALUE"""),"Whyte, K. (2020). Against Crisis Epistemology. Handbook of Critical Indigenous Studies, Volume 1, Page 52-64. ISBN: 9780367642891 ")</f>
        <v>Whyte, K. (2020). Against Crisis Epistemology. Handbook of Critical Indigenous Studies, Volume 1, Page 52-64. ISBN: 9780367642891 </v>
      </c>
      <c r="D206" s="1" t="str">
        <f>IFERROR(__xludf.DUMMYFUNCTION("""COMPUTED_VALUE"""),"Kyle Whyte is a faculty member at the University of Michigan where he is George Willis Pack Professor in the School for Environment and Sustainability, University Diversity and Social Transformation Professor, and Professor of Philosophy in the College of"&amp;" Literature, Science, and the Arts. Kyle teaches in the SEAS environmental justice specialization. He is founding Faculty Director of the Tishman Center for Social Justice and the Environment, Faculty co-Director of the Energy Equity Project, co-Principal"&amp;" Investigator of SEAS' Global Center for Understanding Climate Change Impacts on Transboundary Waters, Faculty Associate of Native American Studies, and Senior Fellow in the Michigan Society of Fellows. His research addresses environmental justice, focusi"&amp;"ng on moral and political issues concerning climate policy and Indigenous peoples, the ethics of cooperative relationships between Indigenous peoples and science organizations, and problems of Indigenous justice in public and academic discussions of food "&amp;"sovereignty, environmental justice, and the anthropocene. He is an enrolled member of the Citizen Potawatomi Nation. (https://seas.umich.edu/research/faculty/kyle-whyte)")</f>
        <v>Kyle Whyte is a faculty member at the University of Michigan where he is George Willis Pack Professor in the School for Environment and Sustainability, University Diversity and Social Transformation Professor, and Professor of Philosophy in the College of Literature, Science, and the Arts. Kyle teaches in the SEAS environmental justice specialization. He is founding Faculty Director of the Tishman Center for Social Justice and the Environment, Faculty co-Director of the Energy Equity Project, co-Principal Investigator of SEAS' Global Center for Understanding Climate Change Impacts on Transboundary Waters, Faculty Associate of Native American Studies, and Senior Fellow in the Michigan Society of Fellows. His research addresses environmental justice, focusing on moral and political issues concerning climate policy and Indigenous peoples, the ethics of cooperative relationships between Indigenous peoples and science organizations, and problems of Indigenous justice in public and academic discussions of food sovereignty, environmental justice, and the anthropocene. He is an enrolled member of the Citizen Potawatomi Nation. (https://seas.umich.edu/research/faculty/kyle-whyte)</v>
      </c>
      <c r="E206" s="1" t="str">
        <f>IFERROR(__xludf.DUMMYFUNCTION("""COMPUTED_VALUE"""),"NEGATIVE")</f>
        <v>NEGATIVE</v>
      </c>
      <c r="F206" s="1" t="str">
        <f>IFERROR(__xludf.DUMMYFUNCTION("""COMPUTED_VALUE"""),"SetCol K")</f>
        <v>SetCol K</v>
      </c>
      <c r="G206" s="1" t="str">
        <f>IFERROR(__xludf.DUMMYFUNCTION("""COMPUTED_VALUE"""),"This article examines the epistemologies of crisis, focusing on the 'climate crisis.' Presuming urgency and unprecedentedness is counterproductive to resolving crisis, as it removes the capacity to respond and acts as a justification for violence. Instead"&amp;", focus should be drawn towards coordination and kinship as methods of response. This acts as a link to the SetCol K, as well as an analysis of the impacts discussed in the debate thus far, and offers coordination as a potential alternative. ")</f>
        <v>This article examines the epistemologies of crisis, focusing on the 'climate crisis.' Presuming urgency and unprecedentedness is counterproductive to resolving crisis, as it removes the capacity to respond and acts as a justification for violence. Instead, focus should be drawn towards coordination and kinship as methods of response. This acts as a link to the SetCol K, as well as an analysis of the impacts discussed in the debate thus far, and offers coordination as a potential alternative. </v>
      </c>
      <c r="H206" s="1" t="str">
        <f>IFERROR(__xludf.DUMMYFUNCTION("""COMPUTED_VALUE"""),"People who perpetrate colonialism often defend their actions as necessary responses to real or perceived crises. Epistemologies of crisis involve knowing the world in such a way that a certain present is experienced as new. I will discuss newness in terms"&amp;" of the presumptions of unprecedentedness and urgency. In contradistinction to an epistemology of crisis, I will suggest that one interpretation of certain Indigenous intellectual traditions emphasizes what I will just call here an epistemology of coordin"&amp;"ation. Different from crisis, coordination refers to ways of knowing the world that emphasize the importance of moral bonds—or kinship relationships—for generating the (responsible) capacity to respond to constant change. Epistemologies of coordination ar"&amp;"e conducive to responding to expected and drastic changes without validating harm or violence. ")</f>
        <v>People who perpetrate colonialism often defend their actions as necessary responses to real or perceived crises. Epistemologies of crisis involve knowing the world in such a way that a certain present is experienced as new. I will discuss newness in terms of the presumptions of unprecedentedness and urgency. In contradistinction to an epistemology of crisis, I will suggest that one interpretation of certain Indigenous intellectual traditions emphasizes what I will just call here an epistemology of coordination. Different from crisis, coordination refers to ways of knowing the world that emphasize the importance of moral bonds—or kinship relationships—for generating the (responsible) capacity to respond to constant change. Epistemologies of coordination are conducive to responding to expected and drastic changes without validating harm or violence. </v>
      </c>
      <c r="I206" s="1" t="str">
        <f>IFERROR(__xludf.DUMMYFUNCTION("""COMPUTED_VALUE"""),"King WWU")</f>
        <v>King WWU</v>
      </c>
      <c r="J206" s="1" t="str">
        <f>IFERROR(__xludf.DUMMYFUNCTION("""COMPUTED_VALUE"""),"Wave 2 (due Nov. 8)")</f>
        <v>Wave 2 (due Nov. 8)</v>
      </c>
      <c r="K206" s="5" t="str">
        <f>IFERROR(__xludf.DUMMYFUNCTION("""COMPUTED_VALUE"""),"https://drive.google.com/open?id=14Fd4SI4tRSa1oPUU_PR-ZGiXkJG17T4V")</f>
        <v>https://drive.google.com/open?id=14Fd4SI4tRSa1oPUU_PR-ZGiXkJG17T4V</v>
      </c>
      <c r="L206" s="3" t="s">
        <v>2</v>
      </c>
    </row>
    <row r="207">
      <c r="A207" s="4">
        <f>IFERROR(__xludf.DUMMYFUNCTION("""COMPUTED_VALUE"""),45649.76500346065)</f>
        <v>45649.765</v>
      </c>
      <c r="B207" s="1" t="str">
        <f>IFERROR(__xludf.DUMMYFUNCTION("""COMPUTED_VALUE"""),"annaballet49@gmail.com")</f>
        <v>annaballet49@gmail.com</v>
      </c>
      <c r="C207" s="1" t="str">
        <f>IFERROR(__xludf.DUMMYFUNCTION("""COMPUTED_VALUE"""),"Cole, D. H. (1993). Marxism and the Failure of Environmental Protection in Eastern Europe and the U.S.S.R. Legal Studies Forum, 17(1), 35-72. ")</f>
        <v>Cole, D. H. (1993). Marxism and the Failure of Environmental Protection in Eastern Europe and the U.S.S.R. Legal Studies Forum, 17(1), 35-72. </v>
      </c>
      <c r="D207" s="1" t="str">
        <f>IFERROR(__xludf.DUMMYFUNCTION("""COMPUTED_VALUE"""),"At the time of publication Daniel H. Cole was an instructor-in-law at Stanford Law School. Since then, Daniel H. Cole has become an  internationally recognized environmental law and economics scholar and  joined the Indiana Law faculty in 2011. Most of hi"&amp;"s writings are at the intersection of the law, economics, and politics of property, natural resources law, land use, and environmental protection. He has also written extensively about Poland and Polish law. Cole is the author of seven books and more than"&amp;" forty articles. His works have published in England, France, Italy, and China, as well as the United States.")</f>
        <v>At the time of publication Daniel H. Cole was an instructor-in-law at Stanford Law School. Since then, Daniel H. Cole has become an  internationally recognized environmental law and economics scholar and  joined the Indiana Law faculty in 2011. Most of his writings are at the intersection of the law, economics, and politics of property, natural resources law, land use, and environmental protection. He has also written extensively about Poland and Polish law. Cole is the author of seven books and more than forty articles. His works have published in England, France, Italy, and China, as well as the United States.</v>
      </c>
      <c r="E207" s="1" t="str">
        <f>IFERROR(__xludf.DUMMYFUNCTION("""COMPUTED_VALUE"""),"AFFIRMATIVE")</f>
        <v>AFFIRMATIVE</v>
      </c>
      <c r="F207" s="1" t="str">
        <f>IFERROR(__xludf.DUMMYFUNCTION("""COMPUTED_VALUE"""),"Answer to Marx Ecology")</f>
        <v>Answer to Marx Ecology</v>
      </c>
      <c r="G207" s="1" t="str">
        <f>IFERROR(__xludf.DUMMYFUNCTION("""COMPUTED_VALUE"""),"Socialist theories such as Marxism and Leninism and Engels do not discuss or encompass a concern for the environment or ecology. Environmental policies that were put in place during Marxist eras do not directly demonstrate a concern for the environment bu"&amp;"t instead only outline rules on the use of natural resources. Instances of ecological crisis such as the Soviet Union's mass polluting of the Aral Sea are reasons to be skeptical of claims stating that marxist ecology is inherently environmentally friendl"&amp;"y. This article provides evidence against the Marx Ecology K that illustrates historical precedent of the implementation of Marxist ideologies and its negative effects on ecology. ")</f>
        <v>Socialist theories such as Marxism and Leninism and Engels do not discuss or encompass a concern for the environment or ecology. Environmental policies that were put in place during Marxist eras do not directly demonstrate a concern for the environment but instead only outline rules on the use of natural resources. Instances of ecological crisis such as the Soviet Union's mass polluting of the Aral Sea are reasons to be skeptical of claims stating that marxist ecology is inherently environmentally friendly. This article provides evidence against the Marx Ecology K that illustrates historical precedent of the implementation of Marxist ideologies and its negative effects on ecology. </v>
      </c>
      <c r="H207" s="1" t="str">
        <f>IFERROR(__xludf.DUMMYFUNCTION("""COMPUTED_VALUE"""),"(Not explicitly an abstract but a portion of the article that serves as one) 
Marx, Engels and Lenin wrote little on specifically environmental
matters, but much of what they wrote about economics, politics and law has
indirectly (and sometimes directly) "&amp;"contributed to the appalling environmental
conditions in the Soviet Union and Eastern Europe. I will analyze four specific
elements of Marxism, each of which, in practice, has contributed to the devasta-
tion of the natural environment: (1) the relationsh"&amp;"ip between man and nature;
(2) the theory of social ownership of property, natural resources, and the means
of production; (3) Marx's labor theory of value; (4) Marxist theories of law and
state, including the dictatorship of the proletariat and the deval"&amp;"uation of the
rule of law. The purpose of this article is not to prove the ultimate superiority of
capitalism over socialism in environmental protection - such a broad and simp-
listic comparison may or may not be warranted, but would not be particularly
"&amp;"illuminating in either case. This article seeks merely to demonstrate that the
Marxist theory of socialism is inherently suspect and obsolete from an environ-
mental point of view. ")</f>
        <v>(Not explicitly an abstract but a portion of the article that serves as one) 
Marx, Engels and Lenin wrote little on specifically environmental
matters, but much of what they wrote about economics, politics and law has
indirectly (and sometimes directly) contributed to the appalling environmental
conditions in the Soviet Union and Eastern Europe. I will analyze four specific
elements of Marxism, each of which, in practice, has contributed to the devasta-
tion of the natural environment: (1) the relationship between man and nature;
(2) the theory of social ownership of property, natural resources, and the means
of production; (3) Marx's labor theory of value; (4) Marxist theories of law and
state, including the dictatorship of the proletariat and the devaluation of the
rule of law. The purpose of this article is not to prove the ultimate superiority of
capitalism over socialism in environmental protection - such a broad and simp-
listic comparison may or may not be warranted, but would not be particularly
illuminating in either case. This article seeks merely to demonstrate that the
Marxist theory of socialism is inherently suspect and obsolete from an environ-
mental point of view. </v>
      </c>
      <c r="I207" s="1" t="str">
        <f>IFERROR(__xludf.DUMMYFUNCTION("""COMPUTED_VALUE"""),"Eckel WWU")</f>
        <v>Eckel WWU</v>
      </c>
      <c r="J207" s="1" t="str">
        <f>IFERROR(__xludf.DUMMYFUNCTION("""COMPUTED_VALUE"""),"Wave 3 (Due Dec. 27)")</f>
        <v>Wave 3 (Due Dec. 27)</v>
      </c>
      <c r="K207" s="5" t="str">
        <f>IFERROR(__xludf.DUMMYFUNCTION("""COMPUTED_VALUE"""),"https://drive.google.com/open?id=1tzbfll26alkGSi-wqjbLcwCYSEhEowkM")</f>
        <v>https://drive.google.com/open?id=1tzbfll26alkGSi-wqjbLcwCYSEhEowkM</v>
      </c>
      <c r="L207" s="3" t="s">
        <v>2</v>
      </c>
    </row>
    <row r="208">
      <c r="A208" s="4">
        <f>IFERROR(__xludf.DUMMYFUNCTION("""COMPUTED_VALUE"""),45652.61109619213)</f>
        <v>45652.6111</v>
      </c>
      <c r="B208" s="1" t="str">
        <f>IFERROR(__xludf.DUMMYFUNCTION("""COMPUTED_VALUE"""),"lemuelj@gmail.com")</f>
        <v>lemuelj@gmail.com</v>
      </c>
      <c r="C208" s="1" t="str">
        <f>IFERROR(__xludf.DUMMYFUNCTION("""COMPUTED_VALUE"""),"Tanuro, D. (2017). The right’s green awakening. Jacobin. https://jacobin.com/2017/04/climate-change-cop21-tax-dividend-cap-trade-emissions-capitalism/ ")</f>
        <v>Tanuro, D. (2017). The right’s green awakening. Jacobin. https://jacobin.com/2017/04/climate-change-cop21-tax-dividend-cap-trade-emissions-capitalism/ </v>
      </c>
      <c r="D208" s="1" t="str">
        <f>IFERROR(__xludf.DUMMYFUNCTION("""COMPUTED_VALUE"""),"Daniel Tanuro is a certified agriculturalist, an ecosocialist activist, and the author of The Impossibility of Green Capitalism")</f>
        <v>Daniel Tanuro is a certified agriculturalist, an ecosocialist activist, and the author of The Impossibility of Green Capitalism</v>
      </c>
      <c r="E208" s="1" t="str">
        <f>IFERROR(__xludf.DUMMYFUNCTION("""COMPUTED_VALUE"""),"NEGATIVE")</f>
        <v>NEGATIVE</v>
      </c>
      <c r="F208" s="1" t="str">
        <f>IFERROR(__xludf.DUMMYFUNCTION("""COMPUTED_VALUE"""),"Carbon Tax")</f>
        <v>Carbon Tax</v>
      </c>
      <c r="G208" s="1" t="str">
        <f>IFERROR(__xludf.DUMMYFUNCTION("""COMPUTED_VALUE"""),"Carbon taxes are not a step in the right direction. Market-based approaches trade off with more effective command and control approaches (i.e. regulations) and mystify the root cause of the climate crisis: capitalist obsession with accumulation and consum"&amp;"ption.")</f>
        <v>Carbon taxes are not a step in the right direction. Market-based approaches trade off with more effective command and control approaches (i.e. regulations) and mystify the root cause of the climate crisis: capitalist obsession with accumulation and consumption.</v>
      </c>
      <c r="H208" s="1"/>
      <c r="I208" s="1" t="str">
        <f>IFERROR(__xludf.DUMMYFUNCTION("""COMPUTED_VALUE"""),"Lemuel (CSUN)")</f>
        <v>Lemuel (CSUN)</v>
      </c>
      <c r="J208" s="1" t="str">
        <f>IFERROR(__xludf.DUMMYFUNCTION("""COMPUTED_VALUE"""),"Wave 3 (Due Dec. 27)")</f>
        <v>Wave 3 (Due Dec. 27)</v>
      </c>
      <c r="K208" s="5" t="str">
        <f>IFERROR(__xludf.DUMMYFUNCTION("""COMPUTED_VALUE"""),"https://drive.google.com/open?id=1a0UFtMh_xF7JWA4VerSHquxGDfAdCa48")</f>
        <v>https://drive.google.com/open?id=1a0UFtMh_xF7JWA4VerSHquxGDfAdCa48</v>
      </c>
      <c r="L208" s="3" t="s">
        <v>1</v>
      </c>
    </row>
    <row r="209">
      <c r="A209" s="4">
        <f>IFERROR(__xludf.DUMMYFUNCTION("""COMPUTED_VALUE"""),45652.62808746527)</f>
        <v>45652.62809</v>
      </c>
      <c r="B209" s="1" t="str">
        <f>IFERROR(__xludf.DUMMYFUNCTION("""COMPUTED_VALUE"""),"lemuelj@gmail.com")</f>
        <v>lemuelj@gmail.com</v>
      </c>
      <c r="C209" s="1" t="str">
        <f>IFERROR(__xludf.DUMMYFUNCTION("""COMPUTED_VALUE"""),"Gilbertson, T. (2017). Carbon pricing: a critical perspective for community resistance. Indigenous Environmental Network and Climate Justice Alliance, 1, 1-58.")</f>
        <v>Gilbertson, T. (2017). Carbon pricing: a critical perspective for community resistance. Indigenous Environmental Network and Climate Justice Alliance, 1, 1-58.</v>
      </c>
      <c r="D209" s="1" t="str">
        <f>IFERROR(__xludf.DUMMYFUNCTION("""COMPUTED_VALUE"""),"Tamra Gilbertson is one of the founders of Carbon Trade Watch, was the Coordinator of the Environmental Justice Project of the Transnational Institute (TNI), and has been active in the project since 2001. She was a founding member of the Durban Group for "&amp;"Climate Justice. She has degrees in biology and zoology as well as training in photography, film-making and journalism. She has been published in the New Internationalist, Ecología Política, Soundings and Chain Reaction. She received a Teamsters Union Sch"&amp;"olarship from 1995 to 1998 and the Samuel Rubin Young Fellowship Award in 2004. She lives in Barcelona.")</f>
        <v>Tamra Gilbertson is one of the founders of Carbon Trade Watch, was the Coordinator of the Environmental Justice Project of the Transnational Institute (TNI), and has been active in the project since 2001. She was a founding member of the Durban Group for Climate Justice. She has degrees in biology and zoology as well as training in photography, film-making and journalism. She has been published in the New Internationalist, Ecología Política, Soundings and Chain Reaction. She received a Teamsters Union Scholarship from 1995 to 1998 and the Samuel Rubin Young Fellowship Award in 2004. She lives in Barcelona.</v>
      </c>
      <c r="E209" s="1" t="str">
        <f>IFERROR(__xludf.DUMMYFUNCTION("""COMPUTED_VALUE"""),"NEGATIVE")</f>
        <v>NEGATIVE</v>
      </c>
      <c r="F209" s="1" t="str">
        <f>IFERROR(__xludf.DUMMYFUNCTION("""COMPUTED_VALUE"""),"EJ style critique of carbon pricing schemes, including carbon tax and emissions trading")</f>
        <v>EJ style critique of carbon pricing schemes, including carbon tax and emissions trading</v>
      </c>
      <c r="G209" s="1" t="str">
        <f>IFERROR(__xludf.DUMMYFUNCTION("""COMPUTED_VALUE"""),"Argues carbon pricing, including carbon trading, carbon taxes and carbon offsets, are false solutions to climate change that do not keep fossil fuels in the ground. Token revenues distributed to environmental justice communities from carbon trading or car"&amp;"bon pricing
can never compensate for the destruction wrought by the extraction and pollution that is the source of that revenue. Resisting carbon colonialism is a crucial form of international organizing and international solidarity.")</f>
        <v>Argues carbon pricing, including carbon trading, carbon taxes and carbon offsets, are false solutions to climate change that do not keep fossil fuels in the ground. Token revenues distributed to environmental justice communities from carbon trading or carbon pricing
can never compensate for the destruction wrought by the extraction and pollution that is the source of that revenue. Resisting carbon colonialism is a crucial form of international organizing and international solidarity.</v>
      </c>
      <c r="H209" s="1"/>
      <c r="I209" s="1" t="str">
        <f>IFERROR(__xludf.DUMMYFUNCTION("""COMPUTED_VALUE"""),"Lemuel CSUN")</f>
        <v>Lemuel CSUN</v>
      </c>
      <c r="J209" s="1" t="str">
        <f>IFERROR(__xludf.DUMMYFUNCTION("""COMPUTED_VALUE"""),"Wave 3 (Due Dec. 27)")</f>
        <v>Wave 3 (Due Dec. 27)</v>
      </c>
      <c r="K209" s="5" t="str">
        <f>IFERROR(__xludf.DUMMYFUNCTION("""COMPUTED_VALUE"""),"https://drive.google.com/open?id=1wE_CTaNOaWjmOYfJ-wTz62EGEoHbB4zQ")</f>
        <v>https://drive.google.com/open?id=1wE_CTaNOaWjmOYfJ-wTz62EGEoHbB4zQ</v>
      </c>
      <c r="L209" s="3" t="s">
        <v>2</v>
      </c>
    </row>
    <row r="210">
      <c r="A210" s="4">
        <f>IFERROR(__xludf.DUMMYFUNCTION("""COMPUTED_VALUE"""),45652.6342642824)</f>
        <v>45652.63426</v>
      </c>
      <c r="B210" s="1" t="str">
        <f>IFERROR(__xludf.DUMMYFUNCTION("""COMPUTED_VALUE"""),"lemuelj@gmail.com")</f>
        <v>lemuelj@gmail.com</v>
      </c>
      <c r="C210" s="1" t="str">
        <f>IFERROR(__xludf.DUMMYFUNCTION("""COMPUTED_VALUE"""),"Gilbertson, T. L. (2021). Financialization of nature and climate change policy: implications for mining-impacted Afro-Colombian communities. Community Development Journal, 56(1), 21-38.")</f>
        <v>Gilbertson, T. L. (2021). Financialization of nature and climate change policy: implications for mining-impacted Afro-Colombian communities. Community Development Journal, 56(1), 21-38.</v>
      </c>
      <c r="D210" s="1" t="str">
        <f>IFERROR(__xludf.DUMMYFUNCTION("""COMPUTED_VALUE"""),"Tamra Gilbertson is one of the founders of Carbon Trade Watch, was the Coordinator of the Environmental Justice Project of the Transnational Institute (TNI), and has been active in the project since 2001. She was a founding member of the Durban Group for "&amp;"Climate Justice. She has degrees in biology and zoology as well as training in photography, film-making and journalism. She has been published in the New Internationalist, Ecología Política, Soundings and Chain Reaction. She received a Teamsters Union Sch"&amp;"olarship from 1995 to 1998 and the Samuel Rubin Young Fellowship Award in 2004. She lives in Barcelona.")</f>
        <v>Tamra Gilbertson is one of the founders of Carbon Trade Watch, was the Coordinator of the Environmental Justice Project of the Transnational Institute (TNI), and has been active in the project since 2001. She was a founding member of the Durban Group for Climate Justice. She has degrees in biology and zoology as well as training in photography, film-making and journalism. She has been published in the New Internationalist, Ecología Política, Soundings and Chain Reaction. She received a Teamsters Union Scholarship from 1995 to 1998 and the Samuel Rubin Young Fellowship Award in 2004. She lives in Barcelona.</v>
      </c>
      <c r="E210" s="1" t="str">
        <f>IFERROR(__xludf.DUMMYFUNCTION("""COMPUTED_VALUE"""),"NEGATIVE")</f>
        <v>NEGATIVE</v>
      </c>
      <c r="F210" s="1" t="str">
        <f>IFERROR(__xludf.DUMMYFUNCTION("""COMPUTED_VALUE"""),"EJ style critique of carbon pricing schemes including carbon tax and carbon pricing")</f>
        <v>EJ style critique of carbon pricing schemes including carbon tax and carbon pricing</v>
      </c>
      <c r="G210" s="1" t="str">
        <f>IFERROR(__xludf.DUMMYFUNCTION("""COMPUTED_VALUE"""),"Lemuel CSUN")</f>
        <v>Lemuel CSUN</v>
      </c>
      <c r="H210" s="1" t="str">
        <f>IFERROR(__xludf.DUMMYFUNCTION("""COMPUTED_VALUE"""),"The use of financial instruments for climate change mitigation puts communities and nature at risk. Success is measured by capital accumulation rather than the ability to protect or enhance human and non-human nature. From cap and trade programmes that al"&amp;"low corporations to buy and sell ‘units’ of pollution on financialized markets, to forest offset credits, the financialization of nature presupposes the separation and quantification of the Earth’s cycles and functions with carbon, water, and biodiversity"&amp;". Financialization causes these cycles to be treated as units to be sold in financial and speculation markets. This article reviews the theoretical frameworks of financialization of nature and proliferating climate change policies. I explore the flaws of "&amp;"the new carbon pricing and carbon tax platform in Colombia and its impacts on Afro-Colombian communities in the coal mining region of Cesar, in northeast Caribbean and related Reducing Emissions from Deforestation and Forest Degradation (REDD+) projects o"&amp;"n the Pacific coast of Colombia.")</f>
        <v>The use of financial instruments for climate change mitigation puts communities and nature at risk. Success is measured by capital accumulation rather than the ability to protect or enhance human and non-human nature. From cap and trade programmes that allow corporations to buy and sell ‘units’ of pollution on financialized markets, to forest offset credits, the financialization of nature presupposes the separation and quantification of the Earth’s cycles and functions with carbon, water, and biodiversity. Financialization causes these cycles to be treated as units to be sold in financial and speculation markets. This article reviews the theoretical frameworks of financialization of nature and proliferating climate change policies. I explore the flaws of the new carbon pricing and carbon tax platform in Colombia and its impacts on Afro-Colombian communities in the coal mining region of Cesar, in northeast Caribbean and related Reducing Emissions from Deforestation and Forest Degradation (REDD+) projects on the Pacific coast of Colombia.</v>
      </c>
      <c r="I210" s="1" t="str">
        <f>IFERROR(__xludf.DUMMYFUNCTION("""COMPUTED_VALUE"""),"Lemuel CSUN")</f>
        <v>Lemuel CSUN</v>
      </c>
      <c r="J210" s="1" t="str">
        <f>IFERROR(__xludf.DUMMYFUNCTION("""COMPUTED_VALUE"""),"Wave 3 (Due Dec. 27)")</f>
        <v>Wave 3 (Due Dec. 27)</v>
      </c>
      <c r="K210" s="5" t="str">
        <f>IFERROR(__xludf.DUMMYFUNCTION("""COMPUTED_VALUE"""),"https://drive.google.com/open?id=1VYorggc9si7JRhBJiTXWrI-iFg9zUEJw")</f>
        <v>https://drive.google.com/open?id=1VYorggc9si7JRhBJiTXWrI-iFg9zUEJw</v>
      </c>
      <c r="L210" s="3" t="s">
        <v>2</v>
      </c>
    </row>
    <row r="211">
      <c r="A211" s="4">
        <f>IFERROR(__xludf.DUMMYFUNCTION("""COMPUTED_VALUE"""),45652.63928769676)</f>
        <v>45652.63929</v>
      </c>
      <c r="B211" s="1" t="str">
        <f>IFERROR(__xludf.DUMMYFUNCTION("""COMPUTED_VALUE"""),"lemuelj@gmail.com")</f>
        <v>lemuelj@gmail.com</v>
      </c>
      <c r="C211" s="1" t="str">
        <f>IFERROR(__xludf.DUMMYFUNCTION("""COMPUTED_VALUE"""),"Slocum, R. (2018). Climate politics and race in the Pacific Northwest. Social Sciences, 7(10), 192.")</f>
        <v>Slocum, R. (2018). Climate politics and race in the Pacific Northwest. Social Sciences, 7(10), 192.</v>
      </c>
      <c r="D211" s="1" t="str">
        <f>IFERROR(__xludf.DUMMYFUNCTION("""COMPUTED_VALUE"""),"Rachel Slocum is an Adjunct Assistant Professor for Geography and Urban Studies and Planning at Portland State University.   According to her faculty profile, “Dr. Slocum has published on the US local food movement, whiteness, and anti-racism drawing on t"&amp;"he literatures of critical food studies and race.""")</f>
        <v>Rachel Slocum is an Adjunct Assistant Professor for Geography and Urban Studies and Planning at Portland State University.   According to her faculty profile, “Dr. Slocum has published on the US local food movement, whiteness, and anti-racism drawing on the literatures of critical food studies and race."</v>
      </c>
      <c r="E211" s="1" t="str">
        <f>IFERROR(__xludf.DUMMYFUNCTION("""COMPUTED_VALUE"""),"NEGATIVE")</f>
        <v>NEGATIVE</v>
      </c>
      <c r="F211" s="1" t="str">
        <f>IFERROR(__xludf.DUMMYFUNCTION("""COMPUTED_VALUE"""),"EJ style critique which argues mainstream environmentalism fails to account for the powerful role of race. Should be included in the library because case study examines the way politics")</f>
        <v>EJ style critique which argues mainstream environmentalism fails to account for the powerful role of race. Should be included in the library because case study examines the way politics</v>
      </c>
      <c r="G211" s="1" t="str">
        <f>IFERROR(__xludf.DUMMYFUNCTION("""COMPUTED_VALUE"""),"EJ style critique which argues mainstream environmental solutions (i.e. carbon pricing) fails to account for the powerful role of race. Should be included in the library because case study examines the way politics of EJ go down in the Pacific Northwest s"&amp;"pecifically. Should resonate well with the student/judging population. ")</f>
        <v>EJ style critique which argues mainstream environmental solutions (i.e. carbon pricing) fails to account for the powerful role of race. Should be included in the library because case study examines the way politics of EJ go down in the Pacific Northwest specifically. Should resonate well with the student/judging population. </v>
      </c>
      <c r="H211" s="1" t="str">
        <f>IFERROR(__xludf.DUMMYFUNCTION("""COMPUTED_VALUE"""),"Abstract: The collective politics of climate justice makes the important claim that lowering emissions is not enough; society must also undertake radical transformation to address both the climate and inequality crises. Owing to its roots in the environme"&amp;"ntal justice movement, addressing systemic racism is central to climate justice praxis in the United States, which is a necessary intervention in typically technocratic climate politics. What emerges from US climate justice is a moral appeal to ‘relations"&amp;"hip’ as politics, the procedural demand that communities of color (the ‘frontline’) lead the movement, and a distributive claim on carbon pricing revenue. However, this praxis precludes a critique of racial capitalism, the process that relies on structura"&amp;"l racism to enhance accumulation,
alienating, exploiting, and immiserating black, brown, and white, while carrying out ecocide. The lack of an analysis of how class and race produce the crises climate justice confronts prevents the movement from demanding"&amp;" that global north fossil fuel abolition occur in tandem with the reassertion of the public over the private and de-growth. Drawing on research conducted primarily in Oregon and Washington, I argue that race works to both create and limit the transformati"&amp;"ve possibilities of climate politics.")</f>
        <v>Abstract: The collective politics of climate justice makes the important claim that lowering emissions is not enough; society must also undertake radical transformation to address both the climate and inequality crises. Owing to its roots in the environmental justice movement, addressing systemic racism is central to climate justice praxis in the United States, which is a necessary intervention in typically technocratic climate politics. What emerges from US climate justice is a moral appeal to ‘relationship’ as politics, the procedural demand that communities of color (the ‘frontline’) lead the movement, and a distributive claim on carbon pricing revenue. However, this praxis precludes a critique of racial capitalism, the process that relies on structural racism to enhance accumulation,
alienating, exploiting, and immiserating black, brown, and white, while carrying out ecocide. The lack of an analysis of how class and race produce the crises climate justice confronts prevents the movement from demanding that global north fossil fuel abolition occur in tandem with the reassertion of the public over the private and de-growth. Drawing on research conducted primarily in Oregon and Washington, I argue that race works to both create and limit the transformative possibilities of climate politics.</v>
      </c>
      <c r="I211" s="1" t="str">
        <f>IFERROR(__xludf.DUMMYFUNCTION("""COMPUTED_VALUE"""),"Lemuel CSUN")</f>
        <v>Lemuel CSUN</v>
      </c>
      <c r="J211" s="1" t="str">
        <f>IFERROR(__xludf.DUMMYFUNCTION("""COMPUTED_VALUE"""),"Wave 3 (Due Dec. 27)")</f>
        <v>Wave 3 (Due Dec. 27)</v>
      </c>
      <c r="K211" s="5" t="str">
        <f>IFERROR(__xludf.DUMMYFUNCTION("""COMPUTED_VALUE"""),"https://drive.google.com/open?id=1w2cGlyFEk5j922bhI83nlFSLHAKdrLsv")</f>
        <v>https://drive.google.com/open?id=1w2cGlyFEk5j922bhI83nlFSLHAKdrLsv</v>
      </c>
      <c r="L211" s="3" t="s">
        <v>2</v>
      </c>
    </row>
    <row r="212">
      <c r="A212" s="4">
        <f>IFERROR(__xludf.DUMMYFUNCTION("""COMPUTED_VALUE"""),45653.67467143519)</f>
        <v>45653.67467</v>
      </c>
      <c r="B212" s="1" t="str">
        <f>IFERROR(__xludf.DUMMYFUNCTION("""COMPUTED_VALUE"""),"kaelyn.a.w@gmail.com")</f>
        <v>kaelyn.a.w@gmail.com</v>
      </c>
      <c r="C212" s="1" t="str">
        <f>IFERROR(__xludf.DUMMYFUNCTION("""COMPUTED_VALUE"""),"United Nations Convention to Combat Desertification, &amp; International Renewable Energy Agency. (2017). GLOBAL LAND OUTLOOK WORKING PAPER ENERGY AND LAND USE DISCLAIMER. https://www.unccd.int/sites/default/files/2018-06/2.%20Fritsche%2Bet%2Bal%2B%282017%29%"&amp;"2BEnergy%2Band%2BLand%2BUse%2B-%2BGLO%2Bpaper-corr.pdf")</f>
        <v>United Nations Convention to Combat Desertification, &amp; International Renewable Energy Agency. (2017). GLOBAL LAND OUTLOOK WORKING PAPER ENERGY AND LAND USE DISCLAIMER. https://www.unccd.int/sites/default/files/2018-06/2.%20Fritsche%2Bet%2Bal%2B%282017%29%2BEnergy%2Band%2BLand%2BUse%2B-%2BGLO%2Bpaper-corr.pdf</v>
      </c>
      <c r="D212" s="1" t="str">
        <f>IFERROR(__xludf.DUMMYFUNCTION("""COMPUTED_VALUE"""),"The UNCCD and IRENA are two international organizations with high esteem on energy policy issues. This report is coordinated by Uwe Fritsche, a policy researcher associated with the International Institute for Sustainability Analysis and Strategy ")</f>
        <v>The UNCCD and IRENA are two international organizations with high esteem on energy policy issues. This report is coordinated by Uwe Fritsche, a policy researcher associated with the International Institute for Sustainability Analysis and Strategy </v>
      </c>
      <c r="E212" s="1" t="str">
        <f>IFERROR(__xludf.DUMMYFUNCTION("""COMPUTED_VALUE"""),"MIXED")</f>
        <v>MIXED</v>
      </c>
      <c r="F212" s="1" t="str">
        <f>IFERROR(__xludf.DUMMYFUNCTION("""COMPUTED_VALUE"""),"This article provides pro and cons to a variety of renewable energy sources, for the purpose of replacing the function Gross 20 served in fostering a robust solvency debate for all cases ")</f>
        <v>This article provides pro and cons to a variety of renewable energy sources, for the purpose of replacing the function Gross 20 served in fostering a robust solvency debate for all cases </v>
      </c>
      <c r="G212" s="1" t="str">
        <f>IFERROR(__xludf.DUMMYFUNCTION("""COMPUTED_VALUE"""),"This report assesses the land and resource efficiency of a variety of renewable energy sources ")</f>
        <v>This report assesses the land and resource efficiency of a variety of renewable energy sources </v>
      </c>
      <c r="H212" s="1"/>
      <c r="I212" s="1" t="str">
        <f>IFERROR(__xludf.DUMMYFUNCTION("""COMPUTED_VALUE"""),"Wellman Gonzaga ")</f>
        <v>Wellman Gonzaga </v>
      </c>
      <c r="J212" s="1" t="str">
        <f>IFERROR(__xludf.DUMMYFUNCTION("""COMPUTED_VALUE"""),"Wave 3 (Due Dec. 27)")</f>
        <v>Wave 3 (Due Dec. 27)</v>
      </c>
      <c r="K212" s="5" t="str">
        <f>IFERROR(__xludf.DUMMYFUNCTION("""COMPUTED_VALUE"""),"https://drive.google.com/open?id=1EtZ6Q7PTF5YwChn0VOTeIt-5n10TTPJb")</f>
        <v>https://drive.google.com/open?id=1EtZ6Q7PTF5YwChn0VOTeIt-5n10TTPJb</v>
      </c>
      <c r="L212" s="3" t="s">
        <v>2</v>
      </c>
    </row>
    <row r="213">
      <c r="A213" s="4">
        <f>IFERROR(__xludf.DUMMYFUNCTION("""COMPUTED_VALUE"""),45653.68030820602)</f>
        <v>45653.68031</v>
      </c>
      <c r="B213" s="1" t="str">
        <f>IFERROR(__xludf.DUMMYFUNCTION("""COMPUTED_VALUE"""),"kaelyn.a.w@gmail.com")</f>
        <v>kaelyn.a.w@gmail.com</v>
      </c>
      <c r="C213" s="1" t="str">
        <f>IFERROR(__xludf.DUMMYFUNCTION("""COMPUTED_VALUE"""),"Pohl, L., &amp; Swyngedouw, E. (2023). Enjoying climate change: Jouissance as a political factor. Political Geography, 101, 102820. https://doi.org/10.1016/j.polgeo.2022.102820")</f>
        <v>Pohl, L., &amp; Swyngedouw, E. (2023). Enjoying climate change: Jouissance as a political factor. Political Geography, 101, 102820. https://doi.org/10.1016/j.polgeo.2022.102820</v>
      </c>
      <c r="D213" s="1" t="str">
        <f>IFERROR(__xludf.DUMMYFUNCTION("""COMPUTED_VALUE"""),"Lucas Pohl is a postdoctoral researcher at the Geography Department of the Humboldt University Berlin. Erik Swyndgedouw is professor of geography at the University of Manchester in the School of Environment, Education and Development and a member of the M"&amp;"anchester Urban Institute")</f>
        <v>Lucas Pohl is a postdoctoral researcher at the Geography Department of the Humboldt University Berlin. Erik Swyndgedouw is professor of geography at the University of Manchester in the School of Environment, Education and Development and a member of the Manchester Urban Institute</v>
      </c>
      <c r="E213" s="1" t="str">
        <f>IFERROR(__xludf.DUMMYFUNCTION("""COMPUTED_VALUE"""),"NEGATIVE")</f>
        <v>NEGATIVE</v>
      </c>
      <c r="F213" s="1" t="str">
        <f>IFERROR(__xludf.DUMMYFUNCTION("""COMPUTED_VALUE"""),"This could serve as an addition to the cap k or be part of a new kritik, one oriented around social psychoanalysis of energy")</f>
        <v>This could serve as an addition to the cap k or be part of a new kritik, one oriented around social psychoanalysis of energy</v>
      </c>
      <c r="G213" s="1" t="str">
        <f>IFERROR(__xludf.DUMMYFUNCTION("""COMPUTED_VALUE"""),"This article argues that the focus on CO2 as the cause of the climate crisis creates a fetishistic object to orient our policy solutions toward, preventing legitimate radical approaches to energy")</f>
        <v>This article argues that the focus on CO2 as the cause of the climate crisis creates a fetishistic object to orient our policy solutions toward, preventing legitimate radical approaches to energy</v>
      </c>
      <c r="H213" s="1" t="str">
        <f>IFERROR(__xludf.DUMMYFUNCTION("""COMPUTED_VALUE"""),"In this paper, we explore this dissonance between knowing and acting that produces the current climate deadlock by focusing on ‘enjoyment’ as a political factor. The enjoyment that infuses the climate change consensus and climate activism stands as an ava"&amp;"tar for the wider impasse that characterizes most attempts to inflect the trajectory of the future away from ‘accumulation for accumulation sake’ and its associated socio-ecological catastrophe. Considering enjoyment as a political factor might open avenu"&amp;"es for re-framing the impasse of the present socio-ecological condition. We engage the Lacanian notion of enjoyment (jouissance). Our overall argument is that climate, and its change, is not only a threat to the world, but also something that is enjoyed i"&amp;"n one way or the other. To illustrate the Lacanian take on enjoyment, we will differentiate between two dominant strands of enjoying climate change: First, a passionate engagement in destroying Nature based on an imperative to enjoy fossil fuels and what "&amp;"they metonymically stand for, and second, an equally passionate commitment to saving Nature based on an imaginary enjoyment that stems from renunciation and sacrifice. The paper proceeds by arguing for the need to traverse the fantasies that sustain the v"&amp;"ery deadlock of the current situation, a process that requires re-scripting the process of political subjectivation and our libidinal attachments to the enjoyment of climate change.")</f>
        <v>In this paper, we explore this dissonance between knowing and acting that produces the current climate deadlock by focusing on ‘enjoyment’ as a political factor. The enjoyment that infuses the climate change consensus and climate activism stands as an avatar for the wider impasse that characterizes most attempts to inflect the trajectory of the future away from ‘accumulation for accumulation sake’ and its associated socio-ecological catastrophe. Considering enjoyment as a political factor might open avenues for re-framing the impasse of the present socio-ecological condition. We engage the Lacanian notion of enjoyment (jouissance). Our overall argument is that climate, and its change, is not only a threat to the world, but also something that is enjoyed in one way or the other. To illustrate the Lacanian take on enjoyment, we will differentiate between two dominant strands of enjoying climate change: First, a passionate engagement in destroying Nature based on an imperative to enjoy fossil fuels and what they metonymically stand for, and second, an equally passionate commitment to saving Nature based on an imaginary enjoyment that stems from renunciation and sacrifice. The paper proceeds by arguing for the need to traverse the fantasies that sustain the very deadlock of the current situation, a process that requires re-scripting the process of political subjectivation and our libidinal attachments to the enjoyment of climate change.</v>
      </c>
      <c r="I213" s="1" t="str">
        <f>IFERROR(__xludf.DUMMYFUNCTION("""COMPUTED_VALUE"""),"Wellman Gonzaga")</f>
        <v>Wellman Gonzaga</v>
      </c>
      <c r="J213" s="1" t="str">
        <f>IFERROR(__xludf.DUMMYFUNCTION("""COMPUTED_VALUE"""),"Wave 3 (Due Dec. 27)")</f>
        <v>Wave 3 (Due Dec. 27)</v>
      </c>
      <c r="K213" s="5" t="str">
        <f>IFERROR(__xludf.DUMMYFUNCTION("""COMPUTED_VALUE"""),"https://drive.google.com/open?id=1zfOBdMcLMSecnsWc99uMuu0aO_oNRrB1")</f>
        <v>https://drive.google.com/open?id=1zfOBdMcLMSecnsWc99uMuu0aO_oNRrB1</v>
      </c>
      <c r="L213" s="3" t="s">
        <v>2</v>
      </c>
    </row>
    <row r="214">
      <c r="A214" s="4">
        <f>IFERROR(__xludf.DUMMYFUNCTION("""COMPUTED_VALUE"""),45653.685960625)</f>
        <v>45653.68596</v>
      </c>
      <c r="B214" s="1" t="str">
        <f>IFERROR(__xludf.DUMMYFUNCTION("""COMPUTED_VALUE"""),"kaelyn.a.w@gmail.com")</f>
        <v>kaelyn.a.w@gmail.com</v>
      </c>
      <c r="C214" s="1" t="str">
        <f>IFERROR(__xludf.DUMMYFUNCTION("""COMPUTED_VALUE"""),"Swyngedouw, E. (2024). Traversing the climate deadlock: Embracing the idea of communism. Dialogues on Climate Change. https://doi.org/10.1177/29768659241300667")</f>
        <v>Swyngedouw, E. (2024). Traversing the climate deadlock: Embracing the idea of communism. Dialogues on Climate Change. https://doi.org/10.1177/29768659241300667</v>
      </c>
      <c r="D214" s="1" t="str">
        <f>IFERROR(__xludf.DUMMYFUNCTION("""COMPUTED_VALUE"""),"Erik Syngedouw s professor of geography at the University of Manchester in the School of Environment, Education and Development and a member of the Manchester Urban Institute")</f>
        <v>Erik Syngedouw s professor of geography at the University of Manchester in the School of Environment, Education and Development and a member of the Manchester Urban Institute</v>
      </c>
      <c r="E214" s="1" t="str">
        <f>IFERROR(__xludf.DUMMYFUNCTION("""COMPUTED_VALUE"""),"NEGATIVE")</f>
        <v>NEGATIVE</v>
      </c>
      <c r="F214" s="1" t="str">
        <f>IFERROR(__xludf.DUMMYFUNCTION("""COMPUTED_VALUE"""),"This would either be a new alternative for the cap K or an alternative for a psychoanalysis K (to work with the other Swyngedouw article I submitted)")</f>
        <v>This would either be a new alternative for the cap K or an alternative for a psychoanalysis K (to work with the other Swyngedouw article I submitted)</v>
      </c>
      <c r="G214" s="1" t="str">
        <f>IFERROR(__xludf.DUMMYFUNCTION("""COMPUTED_VALUE"""),"In line with arguments about CO2 fetishism, Swyngedouw proposes communism as a solution to climate deadlock ")</f>
        <v>In line with arguments about CO2 fetishism, Swyngedouw proposes communism as a solution to climate deadlock </v>
      </c>
      <c r="H214" s="1" t="str">
        <f>IFERROR(__xludf.DUMMYFUNCTION("""COMPUTED_VALUE"""),"Despite widely shared consensus about the truth of climate change and a plethora of activities, the climate high-speed train keeps thundering forward with very little hope for a serious inflection of the history of the future. It is this deadlock, that is"&amp;", the gap between knowing and acting, that requires traversing if an effective and equitable socio-ecological transition is to be inaugurated. In this contribution, we contend that the idea of communism offers an opening through which the present climate "&amp;"deadlock can be politicized. Mobilizing a Lacanian psychoanalytic perspective, the paper accounts for the ‘fetishic disavowal’ that sutures much of climate discourse and action. Traversing the climate deadlock and the disavowal of its underlying dynamics "&amp;"requires engaging with the Idea of Communism as a political imaginary for a climate-sensible and socially equitable world to be made. This idea is still a potent and possibly necessary one.")</f>
        <v>Despite widely shared consensus about the truth of climate change and a plethora of activities, the climate high-speed train keeps thundering forward with very little hope for a serious inflection of the history of the future. It is this deadlock, that is, the gap between knowing and acting, that requires traversing if an effective and equitable socio-ecological transition is to be inaugurated. In this contribution, we contend that the idea of communism offers an opening through which the present climate deadlock can be politicized. Mobilizing a Lacanian psychoanalytic perspective, the paper accounts for the ‘fetishic disavowal’ that sutures much of climate discourse and action. Traversing the climate deadlock and the disavowal of its underlying dynamics requires engaging with the Idea of Communism as a political imaginary for a climate-sensible and socially equitable world to be made. This idea is still a potent and possibly necessary one.</v>
      </c>
      <c r="I214" s="1" t="str">
        <f>IFERROR(__xludf.DUMMYFUNCTION("""COMPUTED_VALUE"""),"Wellman Gonzaga ")</f>
        <v>Wellman Gonzaga </v>
      </c>
      <c r="J214" s="1" t="str">
        <f>IFERROR(__xludf.DUMMYFUNCTION("""COMPUTED_VALUE"""),"Wave 3 (Due Dec. 27)")</f>
        <v>Wave 3 (Due Dec. 27)</v>
      </c>
      <c r="K214" s="5" t="str">
        <f>IFERROR(__xludf.DUMMYFUNCTION("""COMPUTED_VALUE"""),"https://drive.google.com/open?id=1-zXgdVuVBOaT301Zok6np7764KizKiDo")</f>
        <v>https://drive.google.com/open?id=1-zXgdVuVBOaT301Zok6np7764KizKiDo</v>
      </c>
      <c r="L214" s="3" t="s">
        <v>2</v>
      </c>
    </row>
    <row r="215">
      <c r="A215" s="4">
        <f>IFERROR(__xludf.DUMMYFUNCTION("""COMPUTED_VALUE"""),45653.690186782405)</f>
        <v>45653.69019</v>
      </c>
      <c r="B215" s="1" t="str">
        <f>IFERROR(__xludf.DUMMYFUNCTION("""COMPUTED_VALUE"""),"kaelyn.a.w@gmail.com")</f>
        <v>kaelyn.a.w@gmail.com</v>
      </c>
      <c r="C215" s="1" t="str">
        <f>IFERROR(__xludf.DUMMYFUNCTION("""COMPUTED_VALUE"""),"Sumic, J. (2016). Is There a Politics in Psychoanalysis? Política Común, 9(20210301). https://doi.org/10.3998/pc.12322227.0009.007")</f>
        <v>Sumic, J. (2016). Is There a Politics in Psychoanalysis? Política Común, 9(20210301). https://doi.org/10.3998/pc.12322227.0009.007</v>
      </c>
      <c r="D215" s="1" t="str">
        <f>IFERROR(__xludf.DUMMYFUNCTION("""COMPUTED_VALUE"""),"Jelica Sumic is a Ph. D. Research Advisor, Institute of Philosophy, Research Centre of the Slovenian Academy of Sciences and Arts")</f>
        <v>Jelica Sumic is a Ph. D. Research Advisor, Institute of Philosophy, Research Centre of the Slovenian Academy of Sciences and Arts</v>
      </c>
      <c r="E215" s="1" t="str">
        <f>IFERROR(__xludf.DUMMYFUNCTION("""COMPUTED_VALUE"""),"AFFIRMATIVE")</f>
        <v>AFFIRMATIVE</v>
      </c>
      <c r="F215" s="1" t="str">
        <f>IFERROR(__xludf.DUMMYFUNCTION("""COMPUTED_VALUE"""),"This article is an aff answer to both psychoanalysis/capitalism kritik articles submitted in this wave ")</f>
        <v>This article is an aff answer to both psychoanalysis/capitalism kritik articles submitted in this wave </v>
      </c>
      <c r="G215" s="1" t="str">
        <f>IFERROR(__xludf.DUMMYFUNCTION("""COMPUTED_VALUE"""),"This article outlines the difficulties of applying psychoanalytical theory to struggles of resistance, a good aff response to the Swyngedouw communism alternative ")</f>
        <v>This article outlines the difficulties of applying psychoanalytical theory to struggles of resistance, a good aff response to the Swyngedouw communism alternative </v>
      </c>
      <c r="H215" s="1"/>
      <c r="I215" s="1" t="str">
        <f>IFERROR(__xludf.DUMMYFUNCTION("""COMPUTED_VALUE"""),"Wellman Gonzaga")</f>
        <v>Wellman Gonzaga</v>
      </c>
      <c r="J215" s="1" t="str">
        <f>IFERROR(__xludf.DUMMYFUNCTION("""COMPUTED_VALUE"""),"Wave 3 (Due Dec. 27)")</f>
        <v>Wave 3 (Due Dec. 27)</v>
      </c>
      <c r="K215" s="5" t="str">
        <f>IFERROR(__xludf.DUMMYFUNCTION("""COMPUTED_VALUE"""),"https://drive.google.com/open?id=10fZmNxux1-FDFEww1weqq6BkrxlGw31o")</f>
        <v>https://drive.google.com/open?id=10fZmNxux1-FDFEww1weqq6BkrxlGw31o</v>
      </c>
      <c r="L215" s="3" t="s">
        <v>2</v>
      </c>
    </row>
    <row r="216">
      <c r="A216" s="4">
        <f>IFERROR(__xludf.DUMMYFUNCTION("""COMPUTED_VALUE"""),45653.73390340278)</f>
        <v>45653.7339</v>
      </c>
      <c r="B216" s="1" t="str">
        <f>IFERROR(__xludf.DUMMYFUNCTION("""COMPUTED_VALUE"""),"andreitam0604@gmail.com")</f>
        <v>andreitam0604@gmail.com</v>
      </c>
      <c r="C216" s="1" t="str">
        <f>IFERROR(__xludf.DUMMYFUNCTION("""COMPUTED_VALUE"""),"Lee, D., Schelly, C., Gagnon, V. S., Smith, S., &amp; Tiwari, S. (2023). Preferences and perceived barriers to pursuing energy sovereignty and renewable energy: A tribal nations perspective. Energy Research &amp; Social Science, 97, 102967.")</f>
        <v>Lee, D., Schelly, C., Gagnon, V. S., Smith, S., &amp; Tiwari, S. (2023). Preferences and perceived barriers to pursuing energy sovereignty and renewable energy: A tribal nations perspective. Energy Research &amp; Social Science, 97, 102967.</v>
      </c>
      <c r="D216" s="1" t="str">
        <f>IFERROR(__xludf.DUMMYFUNCTION("""COMPUTED_VALUE"""),"Don Lee is a PhD Research Assistant, Michigan Technological University. Chelsea Schelly,  Professor of Sociology, Department of Social Sciences at Michigan Technology. Valoree Gagnon, Assistant Professor, College of Forest Resources and Environmental Scie"&amp;"nce. Sarah Smith, Research Administrator and Committee for Alternative and Renewable Energy, Keweenaw Bay Indian Community. Shardul Tiwari, Post Doctoral Researcher  and Adjunct Assistant Professor at Michigan Technological University and Energy Policy Co"&amp;"nsultant.  ")</f>
        <v>Don Lee is a PhD Research Assistant, Michigan Technological University. Chelsea Schelly,  Professor of Sociology, Department of Social Sciences at Michigan Technology. Valoree Gagnon, Assistant Professor, College of Forest Resources and Environmental Science. Sarah Smith, Research Administrator and Committee for Alternative and Renewable Energy, Keweenaw Bay Indian Community. Shardul Tiwari, Post Doctoral Researcher  and Adjunct Assistant Professor at Michigan Technological University and Energy Policy Consultant.  </v>
      </c>
      <c r="E216" s="1" t="str">
        <f>IFERROR(__xludf.DUMMYFUNCTION("""COMPUTED_VALUE"""),"MIXED")</f>
        <v>MIXED</v>
      </c>
      <c r="F216" s="1" t="str">
        <f>IFERROR(__xludf.DUMMYFUNCTION("""COMPUTED_VALUE"""),"Remove Fossil Fuel Subsidies")</f>
        <v>Remove Fossil Fuel Subsidies</v>
      </c>
      <c r="G216" s="1" t="str">
        <f>IFERROR(__xludf.DUMMYFUNCTION("""COMPUTED_VALUE"""),"Effective energy transition planning must involve equitable community participation, moving away from traditional power structures that marginalize Indigenous and underserved groups.
Scholars advocate for community-led approaches rather than imposing plan"&amp;"ning processes from existing colonized systems.")</f>
        <v>Effective energy transition planning must involve equitable community participation, moving away from traditional power structures that marginalize Indigenous and underserved groups.
Scholars advocate for community-led approaches rather than imposing planning processes from existing colonized systems.</v>
      </c>
      <c r="H216" s="1" t="str">
        <f>IFERROR(__xludf.DUMMYFUNCTION("""COMPUTED_VALUE"""),"This paper proposes two contributions to the literature on the social acceptance (SA) of
energy systems and public perceptions of renewable energy (RE) transitions. The first
contribution is methodological, recognizing more effective and inclusive forms o"&amp;"f engagement
begin with building reciprocal relationships and collaborative research partnerships
operationalizing the tenets of energy justice. Employing these methodological recommendations,
we conducted a collaborative, inclusive, and equitable researc"&amp;"h design and engagement practice
by collaborating with Tribal members on research with expressly mutual benefits. In this work, a
years-long collaboration of Tribal members and non-Tribal researchers developed a methodology
to survey respondents at an acc"&amp;"essible and culturally relevant community event to learn about
preferences and perceived barriers to transitioning to RE. A second contribution is empirical.
The results suggest shared priorities for energy solutions that enhance energy sovereignty, i.e.,"&amp;"
community control and ownership of energy services provisioning. They also demonstrate
widespread awareness regarding barriers to a RE transition and simultaneously, some potential
misperceptions about the challenges to transition. This study reinforces "&amp;"the need for SA research
to move beyond asking what technologies receive public support and where those technologies
should be sited to consider how access and transparency in planning processes, collaboration,
engagement, development, ownership, and bene"&amp;"fits are organized and can be radically
reconfigured to enable the just transition to a decarbonized energy system. ")</f>
        <v>This paper proposes two contributions to the literature on the social acceptance (SA) of
energy systems and public perceptions of renewable energy (RE) transitions. The first
contribution is methodological, recognizing more effective and inclusive forms of engagement
begin with building reciprocal relationships and collaborative research partnerships
operationalizing the tenets of energy justice. Employing these methodological recommendations,
we conducted a collaborative, inclusive, and equitable research design and engagement practice
by collaborating with Tribal members on research with expressly mutual benefits. In this work, a
years-long collaboration of Tribal members and non-Tribal researchers developed a methodology
to survey respondents at an accessible and culturally relevant community event to learn about
preferences and perceived barriers to transitioning to RE. A second contribution is empirical.
The results suggest shared priorities for energy solutions that enhance energy sovereignty, i.e.,
community control and ownership of energy services provisioning. They also demonstrate
widespread awareness regarding barriers to a RE transition and simultaneously, some potential
misperceptions about the challenges to transition. This study reinforces the need for SA research
to move beyond asking what technologies receive public support and where those technologies
should be sited to consider how access and transparency in planning processes, collaboration,
engagement, development, ownership, and benefits are organized and can be radically
reconfigured to enable the just transition to a decarbonized energy system. </v>
      </c>
      <c r="I216" s="1" t="str">
        <f>IFERROR(__xludf.DUMMYFUNCTION("""COMPUTED_VALUE"""),"Moreno Gonzaga")</f>
        <v>Moreno Gonzaga</v>
      </c>
      <c r="J216" s="1" t="str">
        <f>IFERROR(__xludf.DUMMYFUNCTION("""COMPUTED_VALUE"""),"Wave 3 (Due Dec. 27)")</f>
        <v>Wave 3 (Due Dec. 27)</v>
      </c>
      <c r="K216" s="5" t="str">
        <f>IFERROR(__xludf.DUMMYFUNCTION("""COMPUTED_VALUE"""),"https://drive.google.com/open?id=14NnRrzY9v_edqrBP5lvO7Y3XEaeyhVl4")</f>
        <v>https://drive.google.com/open?id=14NnRrzY9v_edqrBP5lvO7Y3XEaeyhVl4</v>
      </c>
      <c r="L216" s="3" t="s">
        <v>2</v>
      </c>
    </row>
    <row r="217">
      <c r="A217" s="4">
        <f>IFERROR(__xludf.DUMMYFUNCTION("""COMPUTED_VALUE"""),45653.7438118287)</f>
        <v>45653.74381</v>
      </c>
      <c r="B217" s="1" t="str">
        <f>IFERROR(__xludf.DUMMYFUNCTION("""COMPUTED_VALUE"""),"andreitam0604@gmail.com")</f>
        <v>andreitam0604@gmail.com</v>
      </c>
      <c r="C217" s="1" t="str">
        <f>IFERROR(__xludf.DUMMYFUNCTION("""COMPUTED_VALUE"""),"Raimi, D., &amp; Davicino, A. (2024). Securing energy sovereignty: A review of key barriers and opportunities for energy-producing Native nations in the United States. Energy Research &amp; Social Science, 107, 103324.")</f>
        <v>Raimi, D., &amp; Davicino, A. (2024). Securing energy sovereignty: A review of key barriers and opportunities for energy-producing Native nations in the United States. Energy Research &amp; Social Science, 107, 103324.</v>
      </c>
      <c r="D217" s="1" t="str">
        <f>IFERROR(__xludf.DUMMYFUNCTION("""COMPUTED_VALUE"""),"Daniel Raimi is Daniel Raimi is a senior research associate at Resources for the Future, a nonprofit research institution focusing on energy and climate issues. Alana Davicino is Budget Analyst and works for the U.S. Environmental Protection Agency  ")</f>
        <v>Daniel Raimi is Daniel Raimi is a senior research associate at Resources for the Future, a nonprofit research institution focusing on energy and climate issues. Alana Davicino is Budget Analyst and works for the U.S. Environmental Protection Agency  </v>
      </c>
      <c r="E217" s="1" t="str">
        <f>IFERROR(__xludf.DUMMYFUNCTION("""COMPUTED_VALUE"""),"MIXED")</f>
        <v>MIXED</v>
      </c>
      <c r="F217" s="1" t="str">
        <f>IFERROR(__xludf.DUMMYFUNCTION("""COMPUTED_VALUE"""),"Remove Fossil Fuel Subsidies")</f>
        <v>Remove Fossil Fuel Subsidies</v>
      </c>
      <c r="G217" s="1" t="str">
        <f>IFERROR(__xludf.DUMMYFUNCTION("""COMPUTED_VALUE"""),"It establishes that fossil fuel revenues are critical for many Native nations to fund essential services and promote economic stability, thus justifying the need for an exemption.
The article also underscores the historical and systemic challenges Native "&amp;"nations face, which makes removing subsidies without exceptions potentially harmful to tribal sovereignty and self-determination.")</f>
        <v>It establishes that fossil fuel revenues are critical for many Native nations to fund essential services and promote economic stability, thus justifying the need for an exemption.
The article also underscores the historical and systemic challenges Native nations face, which makes removing subsidies without exceptions potentially harmful to tribal sovereignty and self-determination.</v>
      </c>
      <c r="H217" s="1" t="str">
        <f>IFERROR(__xludf.DUMMYFUNCTION("""COMPUTED_VALUE"""),"As the world seeks to dramatically reduce greenhouse gas emissions from fossil fuel production and consumption to mitigate the impacts of climate change, communities that rely on coal, oil, and natural gas production as economic drivers are likely to face"&amp;" challenges. Although extensive work has identified pathways towards a “just transition” in numerous contexts, very little has been written to understand the opportunities and challenges for fossil fuel-producing Native nations in a transition towards a n"&amp;"et-zero emissions future. In theory, Native American nations have control over the decisions that shape their energy futures because of their sovereign status. In practice, however, numerous factors limit the exercise of that sovereignty. In this review, "&amp;"we assess the major barriers to tribal energy sovereignty, discuss historical and ongoing efforts to secure it, and highlight the tools that can further ensure the exercise of tribal energy sovereignty in the context of an energy transition. We also discu"&amp;"ss recent policy developments and identify cases where Native nations are taking innovative approaches to govern the future of energy development on their lands.")</f>
        <v>As the world seeks to dramatically reduce greenhouse gas emissions from fossil fuel production and consumption to mitigate the impacts of climate change, communities that rely on coal, oil, and natural gas production as economic drivers are likely to face challenges. Although extensive work has identified pathways towards a “just transition” in numerous contexts, very little has been written to understand the opportunities and challenges for fossil fuel-producing Native nations in a transition towards a net-zero emissions future. In theory, Native American nations have control over the decisions that shape their energy futures because of their sovereign status. In practice, however, numerous factors limit the exercise of that sovereignty. In this review, we assess the major barriers to tribal energy sovereignty, discuss historical and ongoing efforts to secure it, and highlight the tools that can further ensure the exercise of tribal energy sovereignty in the context of an energy transition. We also discuss recent policy developments and identify cases where Native nations are taking innovative approaches to govern the future of energy development on their lands.</v>
      </c>
      <c r="I217" s="1" t="str">
        <f>IFERROR(__xludf.DUMMYFUNCTION("""COMPUTED_VALUE"""),"Moreno Gonzaga")</f>
        <v>Moreno Gonzaga</v>
      </c>
      <c r="J217" s="1" t="str">
        <f>IFERROR(__xludf.DUMMYFUNCTION("""COMPUTED_VALUE"""),"Wave 3 (Due Dec. 27)")</f>
        <v>Wave 3 (Due Dec. 27)</v>
      </c>
      <c r="K217" s="5" t="str">
        <f>IFERROR(__xludf.DUMMYFUNCTION("""COMPUTED_VALUE"""),"https://drive.google.com/open?id=1VvBuOt0MEPy7S-_OczMVTebOrZUst0Tw")</f>
        <v>https://drive.google.com/open?id=1VvBuOt0MEPy7S-_OczMVTebOrZUst0Tw</v>
      </c>
      <c r="L217" s="3" t="s">
        <v>2</v>
      </c>
    </row>
    <row r="218">
      <c r="A218" s="4">
        <f>IFERROR(__xludf.DUMMYFUNCTION("""COMPUTED_VALUE"""),45653.935453032405)</f>
        <v>45653.93545</v>
      </c>
      <c r="B218" s="1" t="str">
        <f>IFERROR(__xludf.DUMMYFUNCTION("""COMPUTED_VALUE"""),"mironova.maria.dm@gmail.com")</f>
        <v>mironova.maria.dm@gmail.com</v>
      </c>
      <c r="C218" s="1" t="str">
        <f>IFERROR(__xludf.DUMMYFUNCTION("""COMPUTED_VALUE"""),"McKibbin, W.J., Morris, A.C., Wilcoxen, P.J., &amp; Liu, W. (2018). The Role of Border Carbon Adjustments in a US Carbon Tax. Climate Change Economics, 9(1), 1-41.")</f>
        <v>McKibbin, W.J., Morris, A.C., Wilcoxen, P.J., &amp; Liu, W. (2018). The Role of Border Carbon Adjustments in a US Carbon Tax. Climate Change Economics, 9(1), 1-41.</v>
      </c>
      <c r="D218" s="1" t="str">
        <f>IFERROR(__xludf.DUMMYFUNCTION("""COMPUTED_VALUE"""),"Warwick J. McKibbin was professor at the Australian National University and member of the Brookings Institution. Adele C. Morris was member of the Brookings Institution. Peter J. Wilcoxen was professor at Syracuse University and member at the Brookings In"&amp;"stitution. Weifeng Liu was professor at the Australian National University")</f>
        <v>Warwick J. McKibbin was professor at the Australian National University and member of the Brookings Institution. Adele C. Morris was member of the Brookings Institution. Peter J. Wilcoxen was professor at Syracuse University and member at the Brookings Institution. Weifeng Liu was professor at the Australian National University</v>
      </c>
      <c r="E218" s="1" t="str">
        <f>IFERROR(__xludf.DUMMYFUNCTION("""COMPUTED_VALUE"""),"MIXED")</f>
        <v>MIXED</v>
      </c>
      <c r="F218" s="1" t="str">
        <f>IFERROR(__xludf.DUMMYFUNCTION("""COMPUTED_VALUE"""),"Carbon Tax")</f>
        <v>Carbon Tax</v>
      </c>
      <c r="G218" s="1" t="str">
        <f>IFERROR(__xludf.DUMMYFUNCTION("""COMPUTED_VALUE"""),"The article discusses the efficacy of a US carbon tax (alone and with specific uses for the revenue received), also impact on GDP and other areas of the economy, concluding that the reduction in CO2 production is inevitable, but other impacts are nil with"&amp;"out redistribution of revenue. Also discusses US position internationally should a Border Carbon Adjustment policy (BCA) be implemented. ")</f>
        <v>The article discusses the efficacy of a US carbon tax (alone and with specific uses for the revenue received), also impact on GDP and other areas of the economy, concluding that the reduction in CO2 production is inevitable, but other impacts are nil without redistribution of revenue. Also discusses US position internationally should a Border Carbon Adjustment policy (BCA) be implemented. </v>
      </c>
      <c r="H218" s="1" t="str">
        <f>IFERROR(__xludf.DUMMYFUNCTION("""COMPUTED_VALUE"""),"This paper examines carbon tax design options in the United States using an intertemporal
computable general equilibrium model of the world economy called G-Cubed. In this paper, we
discuss four policy scenarios that explore two overarching issues: (1) th"&amp;"e effects of a carbon tax
under alternative assumptions about the use of the resulting revenue, and (2) the effects of a
system of import charges on carbon-intensive goods (“border carbon adjustments” or BCAs).
Consistent with earlier studies, we find tha"&amp;"t the carbon tax raises considerable revenue and
reduces CO 2 emissions significantly relative to baseline, no matter how the revenue is used.
Gross annual revenue from the carbon tax with lump sum rebating and no BCA begins at $110
billion in 2020 and ri"&amp;"ses gradually to $170 billion in 2040. By 2040, annual CO 2 emissions fall
from 5.5 billion metric tons (BMT) under the baseline to 2.4 BMT, a decline of 3.1 BMT, or
57%. Cumulative emissions over 2020 to 2040 fall by 48 BMT.
Also consistent with earlier "&amp;"studies, we find that the carbon tax has very small overall
impacts on gross domestic product (GDP), wages, employment, and consumption. Different
uses of the revenue from the carbon tax result in slightly different levels and compositions of
GDP across c"&amp;"onsumption, investment and net exports. Overall, using carbon tax revenue to
reduce the capital income tax rate results in better macroeconomic outcomes than using the
revenue for lump sum transfers. 
Counter to their purported purpose of protecting U.S. "&amp;"trade strength, for a given revenue
policy, BCAs tend to produce lower net exports than the carbon taxes alone. This is generally
because the BCAs raise the value of the dollar relative to other currencies, thus lowering exports
more than they lower impor"&amp;"ts. This is consistent with standard results in the international trade
literature on the effects of import tariffs and export subsidies on real exchange rates, a result that
is often overlooked in the discussion of domestic carbon policy.
In a finding ne"&amp;"w to the literature, our results show that BCAs can have strikingly different
effects depending on the use of the revenue. Under a lump sum rebate, BCAs exacerbate the
impact of the carbon tax by lowering domestic output further than it would fall under t"&amp;"he carbon
tax alone. Under a capital tax swap, however, BCAs have a moderating effect: they reduce the
impact of the tax on most industries.")</f>
        <v>This paper examines carbon tax design options in the United States using an intertemporal
computable general equilibrium model of the world economy called G-Cubed. In this paper, we
discuss four policy scenarios that explore two overarching issues: (1) the effects of a carbon tax
under alternative assumptions about the use of the resulting revenue, and (2) the effects of a
system of import charges on carbon-intensive goods (“border carbon adjustments” or BCAs).
Consistent with earlier studies, we find that the carbon tax raises considerable revenue and
reduces CO 2 emissions significantly relative to baseline, no matter how the revenue is used.
Gross annual revenue from the carbon tax with lump sum rebating and no BCA begins at $110
billion in 2020 and rises gradually to $170 billion in 2040. By 2040, annual CO 2 emissions fall
from 5.5 billion metric tons (BMT) under the baseline to 2.4 BMT, a decline of 3.1 BMT, or
57%. Cumulative emissions over 2020 to 2040 fall by 48 BMT.
Also consistent with earlier studies, we find that the carbon tax has very small overall
impacts on gross domestic product (GDP), wages, employment, and consumption. Different
uses of the revenue from the carbon tax result in slightly different levels and compositions of
GDP across consumption, investment and net exports. Overall, using carbon tax revenue to
reduce the capital income tax rate results in better macroeconomic outcomes than using the
revenue for lump sum transfers. 
Counter to their purported purpose of protecting U.S. trade strength, for a given revenue
policy, BCAs tend to produce lower net exports than the carbon taxes alone. This is generally
because the BCAs raise the value of the dollar relative to other currencies, thus lowering exports
more than they lower imports. This is consistent with standard results in the international trade
literature on the effects of import tariffs and export subsidies on real exchange rates, a result that
is often overlooked in the discussion of domestic carbon policy.
In a finding new to the literature, our results show that BCAs can have strikingly different
effects depending on the use of the revenue. Under a lump sum rebate, BCAs exacerbate the
impact of the carbon tax by lowering domestic output further than it would fall under the carbon
tax alone. Under a capital tax swap, however, BCAs have a moderating effect: they reduce the
impact of the tax on most industries.</v>
      </c>
      <c r="I218" s="1" t="str">
        <f>IFERROR(__xludf.DUMMYFUNCTION("""COMPUTED_VALUE"""),"Mironova UO")</f>
        <v>Mironova UO</v>
      </c>
      <c r="J218" s="1" t="str">
        <f>IFERROR(__xludf.DUMMYFUNCTION("""COMPUTED_VALUE"""),"Wave 3 (Due Dec. 27)")</f>
        <v>Wave 3 (Due Dec. 27)</v>
      </c>
      <c r="K218" s="5" t="str">
        <f>IFERROR(__xludf.DUMMYFUNCTION("""COMPUTED_VALUE"""),"https://drive.google.com/open?id=1ztzXp8g76ZIUSYzn9lPm2XS0cXbQqcnu")</f>
        <v>https://drive.google.com/open?id=1ztzXp8g76ZIUSYzn9lPm2XS0cXbQqcnu</v>
      </c>
      <c r="L218" s="3" t="s">
        <v>2</v>
      </c>
    </row>
    <row r="219">
      <c r="A219" s="4">
        <f>IFERROR(__xludf.DUMMYFUNCTION("""COMPUTED_VALUE"""),45653.9395806713)</f>
        <v>45653.93958</v>
      </c>
      <c r="B219" s="1" t="str">
        <f>IFERROR(__xludf.DUMMYFUNCTION("""COMPUTED_VALUE"""),"mironova.maria.dm@gmail.com")</f>
        <v>mironova.maria.dm@gmail.com</v>
      </c>
      <c r="C219" s="1" t="str">
        <f>IFERROR(__xludf.DUMMYFUNCTION("""COMPUTED_VALUE"""),"Marron, D. B., &amp; Toder, E. J. (2014). Tax Policy Issues in Designing a Carbon Tax. The American Economic Review, 104(5), 563–568.")</f>
        <v>Marron, D. B., &amp; Toder, E. J. (2014). Tax Policy Issues in Designing a Carbon Tax. The American Economic Review, 104(5), 563–568.</v>
      </c>
      <c r="D219" s="1" t="str">
        <f>IFERROR(__xludf.DUMMYFUNCTION("""COMPUTED_VALUE"""),"Marron: Urban Institute, 2100 M Street NW, Washington, DC 20037 and Urban-Brookings Tax Policy Center. Toder: Urban Institute, 2100 M Street NW, Washington, DC 20037 and Urban-Brookings Tax Policy Center.")</f>
        <v>Marron: Urban Institute, 2100 M Street NW, Washington, DC 20037 and Urban-Brookings Tax Policy Center. Toder: Urban Institute, 2100 M Street NW, Washington, DC 20037 and Urban-Brookings Tax Policy Center.</v>
      </c>
      <c r="E219" s="1" t="str">
        <f>IFERROR(__xludf.DUMMYFUNCTION("""COMPUTED_VALUE"""),"MIXED")</f>
        <v>MIXED</v>
      </c>
      <c r="F219" s="1" t="str">
        <f>IFERROR(__xludf.DUMMYFUNCTION("""COMPUTED_VALUE"""),"Carbon Tax")</f>
        <v>Carbon Tax</v>
      </c>
      <c r="G219" s="1" t="str">
        <f>IFERROR(__xludf.DUMMYFUNCTION("""COMPUTED_VALUE"""),"Summarizes the variables in implementing a Carbon Tax and the downfalls of not considering externalities (Pigouvian Tax v. social cost, etc.), as well as how the tax is to be collected and opportunity for tax reform external to this policy area. Is genera"&amp;"lly organized into three parts: setting the tax, collecting the tax, and revenue use. ")</f>
        <v>Summarizes the variables in implementing a Carbon Tax and the downfalls of not considering externalities (Pigouvian Tax v. social cost, etc.), as well as how the tax is to be collected and opportunity for tax reform external to this policy area. Is generally organized into three parts: setting the tax, collecting the tax, and revenue use. </v>
      </c>
      <c r="H219" s="1" t="str">
        <f>IFERROR(__xludf.DUMMYFUNCTION("""COMPUTED_VALUE"""),"A carbon tax is a promising tool for discouraging the greenhouse gas emissions that cause climate change. In principle, a well-designed tax could reduce the risk of climate change, minimize the cost of emissions reductions, encourage innovation in low-car"&amp;"bon technologies, and raise new public revenue. But designing a real-world carbon tax poses significant challenges. We analyze those challenges from a public finance perspective, emphasizing three tax policy design issues: setting the tax rate, collecting"&amp;" the tax, and using the resulting revenue. The benefits of a carbon tax will depend on how policymakers address those issues.")</f>
        <v>A carbon tax is a promising tool for discouraging the greenhouse gas emissions that cause climate change. In principle, a well-designed tax could reduce the risk of climate change, minimize the cost of emissions reductions, encourage innovation in low-carbon technologies, and raise new public revenue. But designing a real-world carbon tax poses significant challenges. We analyze those challenges from a public finance perspective, emphasizing three tax policy design issues: setting the tax rate, collecting the tax, and using the resulting revenue. The benefits of a carbon tax will depend on how policymakers address those issues.</v>
      </c>
      <c r="I219" s="1" t="str">
        <f>IFERROR(__xludf.DUMMYFUNCTION("""COMPUTED_VALUE"""),"Mironova UO")</f>
        <v>Mironova UO</v>
      </c>
      <c r="J219" s="1" t="str">
        <f>IFERROR(__xludf.DUMMYFUNCTION("""COMPUTED_VALUE"""),"Wave 3 (Due Dec. 27)")</f>
        <v>Wave 3 (Due Dec. 27)</v>
      </c>
      <c r="K219" s="5" t="str">
        <f>IFERROR(__xludf.DUMMYFUNCTION("""COMPUTED_VALUE"""),"https://drive.google.com/open?id=1sYVMr2j-ZvnsnNmkq5RkXypCHwR5b9gm")</f>
        <v>https://drive.google.com/open?id=1sYVMr2j-ZvnsnNmkq5RkXypCHwR5b9gm</v>
      </c>
      <c r="L219" s="3" t="s">
        <v>2</v>
      </c>
    </row>
    <row r="220">
      <c r="A220" s="4">
        <f>IFERROR(__xludf.DUMMYFUNCTION("""COMPUTED_VALUE"""),45653.95139782407)</f>
        <v>45653.9514</v>
      </c>
      <c r="B220" s="1" t="str">
        <f>IFERROR(__xludf.DUMMYFUNCTION("""COMPUTED_VALUE"""),"mironova.maria.dm@gmail.com")</f>
        <v>mironova.maria.dm@gmail.com</v>
      </c>
      <c r="C220" s="1" t="str">
        <f>IFERROR(__xludf.DUMMYFUNCTION("""COMPUTED_VALUE"""),"Johnston, R. J., Blakemore, R., &amp; Bell, R. (2020). KEY DRIVERS OF THE LOW CARBON TRANSITION. In THE ROLE OF OIL AND GAS COMPANIES IN THE ENERGY TRANSITION (pp. 5–14). Atlantic Council.")</f>
        <v>Johnston, R. J., Blakemore, R., &amp; Bell, R. (2020). KEY DRIVERS OF THE LOW CARBON TRANSITION. In THE ROLE OF OIL AND GAS COMPANIES IN THE ENERGY TRANSITION (pp. 5–14). Atlantic Council.</v>
      </c>
      <c r="D220" s="1" t="str">
        <f>IFERROR(__xludf.DUMMYFUNCTION("""COMPUTED_VALUE"""),"All were affiliated with the Atlantic Council. Robert Johnston based at Columbia University, Reed Blakemore currently director of the Global Energy Center at the Atlantic Council, affiliation unclear at time of publication, Randolph Bell the senior direct"&amp;"or of the Global Energy Center and Richard Morningstar Chair for Global Energy Security.")</f>
        <v>All were affiliated with the Atlantic Council. Robert Johnston based at Columbia University, Reed Blakemore currently director of the Global Energy Center at the Atlantic Council, affiliation unclear at time of publication, Randolph Bell the senior director of the Global Energy Center and Richard Morningstar Chair for Global Energy Security.</v>
      </c>
      <c r="E220" s="1" t="str">
        <f>IFERROR(__xludf.DUMMYFUNCTION("""COMPUTED_VALUE"""),"MIXED")</f>
        <v>MIXED</v>
      </c>
      <c r="F220" s="1" t="str">
        <f>IFERROR(__xludf.DUMMYFUNCTION("""COMPUTED_VALUE"""),"Carbon Bubble DA, with potential applications to all Affirmative areas.")</f>
        <v>Carbon Bubble DA, with potential applications to all Affirmative areas.</v>
      </c>
      <c r="G220" s="1" t="str">
        <f>IFERROR(__xludf.DUMMYFUNCTION("""COMPUTED_VALUE"""),"Although a transition to non-oil/gas energy sources is ""technically feasible and, in many cases, commercially viable,"" difficulties in policy implementation and investor objectives make the transition harder and the outcomes of any related policy less p"&amp;"redictable.")</f>
        <v>Although a transition to non-oil/gas energy sources is "technically feasible and, in many cases, commercially viable," difficulties in policy implementation and investor objectives make the transition harder and the outcomes of any related policy less predictable.</v>
      </c>
      <c r="H220" s="1" t="str">
        <f>IFERROR(__xludf.DUMMYFUNCTION("""COMPUTED_VALUE"""),"N/A")</f>
        <v>N/A</v>
      </c>
      <c r="I220" s="1" t="str">
        <f>IFERROR(__xludf.DUMMYFUNCTION("""COMPUTED_VALUE"""),"Mironova UO")</f>
        <v>Mironova UO</v>
      </c>
      <c r="J220" s="1" t="str">
        <f>IFERROR(__xludf.DUMMYFUNCTION("""COMPUTED_VALUE"""),"Wave 3 (Due Dec. 27)")</f>
        <v>Wave 3 (Due Dec. 27)</v>
      </c>
      <c r="K220" s="5" t="str">
        <f>IFERROR(__xludf.DUMMYFUNCTION("""COMPUTED_VALUE"""),"https://drive.google.com/open?id=18fX81uvX-4E7vawL-wQuepsfo8pfPMy_")</f>
        <v>https://drive.google.com/open?id=18fX81uvX-4E7vawL-wQuepsfo8pfPMy_</v>
      </c>
      <c r="L220" s="3" t="s">
        <v>2</v>
      </c>
    </row>
    <row r="221">
      <c r="A221" s="4">
        <f>IFERROR(__xludf.DUMMYFUNCTION("""COMPUTED_VALUE"""),45655.84285753472)</f>
        <v>45655.84286</v>
      </c>
      <c r="B221" s="1" t="str">
        <f>IFERROR(__xludf.DUMMYFUNCTION("""COMPUTED_VALUE"""),"schmittkyla@gmail.com")</f>
        <v>schmittkyla@gmail.com</v>
      </c>
      <c r="C221" s="1" t="str">
        <f>IFERROR(__xludf.DUMMYFUNCTION("""COMPUTED_VALUE"""),"Anson, A. and Banerjee, A. (2023). boundary 2 50:1. DOI 10.1215/01903659-10192145 © 2023 by Duke University Press")</f>
        <v>Anson, A. and Banerjee, A. (2023). boundary 2 50:1. DOI 10.1215/01903659-10192145 © 2023 by Duke University Press</v>
      </c>
      <c r="D221" s="1" t="str">
        <f>IFERROR(__xludf.DUMMYFUNCTION("""COMPUTED_VALUE"""),"Anson, A.: Assistant Professor at the University of Connecticut, with research in American ecofascism, climate change history, politics, and cultural production. Banerjee, A.: Associate Professor at Cornell University, with research in technocultural stud"&amp;"ies, environmental studies, media studies, and migration studies. ")</f>
        <v>Anson, A.: Assistant Professor at the University of Connecticut, with research in American ecofascism, climate change history, politics, and cultural production. Banerjee, A.: Associate Professor at Cornell University, with research in technocultural studies, environmental studies, media studies, and migration studies. </v>
      </c>
      <c r="E221" s="1" t="str">
        <f>IFERROR(__xludf.DUMMYFUNCTION("""COMPUTED_VALUE"""),"NEGATIVE")</f>
        <v>NEGATIVE</v>
      </c>
      <c r="F221" s="1" t="str">
        <f>IFERROR(__xludf.DUMMYFUNCTION("""COMPUTED_VALUE"""),"Marx Ecology K")</f>
        <v>Marx Ecology K</v>
      </c>
      <c r="G221" s="1" t="str">
        <f>IFERROR(__xludf.DUMMYFUNCTION("""COMPUTED_VALUE"""),"This article summarizes American eco-fascism and its harmful implications as a competing and trading-off ideology with ecological Marxism. The article fosters a rich debate surrounding the urgency, nature, and possibilities surrounding climate-inspired so"&amp;"cial revolution movements.")</f>
        <v>This article summarizes American eco-fascism and its harmful implications as a competing and trading-off ideology with ecological Marxism. The article fosters a rich debate surrounding the urgency, nature, and possibilities surrounding climate-inspired social revolution movements.</v>
      </c>
      <c r="H221" s="1" t="str">
        <f>IFERROR(__xludf.DUMMYFUNCTION("""COMPUTED_VALUE"""),"QAnon's rallying cry of “the storm” on January 6 and thereafter articulates a structural taxonomy of planetary scale and apocalyptic eschatology that pervades the environmental imaginaries of contemporary fascism. While they become visible only in times o"&amp;"f emergency and states of exception, this essay argues that equal attention needs to be paid to expressions and operations of ecofascism in the mundane places and practices of everyday life. Expanding beyond the geographic and historical specificities of "&amp;"Nazism and its transatlantic dialogue with North American settler colonialism, this essay theorizes everyday ecofascism as an oiko-logics and oiko-nomics across borders, a transversal condition of deeply globalized, inextricably interconnected structures "&amp;"and systems.")</f>
        <v>QAnon's rallying cry of “the storm” on January 6 and thereafter articulates a structural taxonomy of planetary scale and apocalyptic eschatology that pervades the environmental imaginaries of contemporary fascism. While they become visible only in times of emergency and states of exception, this essay argues that equal attention needs to be paid to expressions and operations of ecofascism in the mundane places and practices of everyday life. Expanding beyond the geographic and historical specificities of Nazism and its transatlantic dialogue with North American settler colonialism, this essay theorizes everyday ecofascism as an oiko-logics and oiko-nomics across borders, a transversal condition of deeply globalized, inextricably interconnected structures and systems.</v>
      </c>
      <c r="I221" s="1" t="str">
        <f>IFERROR(__xludf.DUMMYFUNCTION("""COMPUTED_VALUE"""),"Schmitt UO")</f>
        <v>Schmitt UO</v>
      </c>
      <c r="J221" s="1" t="str">
        <f>IFERROR(__xludf.DUMMYFUNCTION("""COMPUTED_VALUE"""),"Wave 3 (Due Dec. 27)")</f>
        <v>Wave 3 (Due Dec. 27)</v>
      </c>
      <c r="K221" s="5" t="str">
        <f>IFERROR(__xludf.DUMMYFUNCTION("""COMPUTED_VALUE"""),"https://drive.google.com/open?id=1GStBsuNs_wgOqhyHAlF5FA6L6z19Dm5R")</f>
        <v>https://drive.google.com/open?id=1GStBsuNs_wgOqhyHAlF5FA6L6z19Dm5R</v>
      </c>
      <c r="L221" s="3" t="s">
        <v>2</v>
      </c>
    </row>
    <row r="222">
      <c r="A222" s="4">
        <f>IFERROR(__xludf.DUMMYFUNCTION("""COMPUTED_VALUE"""),45659.888391307875)</f>
        <v>45659.88839</v>
      </c>
      <c r="B222" s="1" t="str">
        <f>IFERROR(__xludf.DUMMYFUNCTION("""COMPUTED_VALUE"""),"leybasam@gmail.com")</f>
        <v>leybasam@gmail.com</v>
      </c>
      <c r="C222" s="1" t="str">
        <f>IFERROR(__xludf.DUMMYFUNCTION("""COMPUTED_VALUE"""),"Gelzinis, G. &amp; Steele G. (2019) Climate Change Threatens the Stability of the Financial System. Center for American Progress Report. ")</f>
        <v>Gelzinis, G. &amp; Steele G. (2019) Climate Change Threatens the Stability of the Financial System. Center for American Progress Report. </v>
      </c>
      <c r="D222" s="1" t="str">
        <f>IFERROR(__xludf.DUMMYFUNCTION("""COMPUTED_VALUE"""),"Gregg Gelzinis is an associate director for Economic Policy at the Center for American Progress. Graham Steele serves as the Assistant Secretary for Financial Institutions at the U.S. Department of the Treasury. He is an expert on financial regulation and"&amp;" financial institutions, with more than a decade of experience working at the highest levels of law and policy in Washington, D.C.")</f>
        <v>Gregg Gelzinis is an associate director for Economic Policy at the Center for American Progress. Graham Steele serves as the Assistant Secretary for Financial Institutions at the U.S. Department of the Treasury. He is an expert on financial regulation and financial institutions, with more than a decade of experience working at the highest levels of law and policy in Washington, D.C.</v>
      </c>
      <c r="E222" s="1" t="str">
        <f>IFERROR(__xludf.DUMMYFUNCTION("""COMPUTED_VALUE"""),"NEGATIVE")</f>
        <v>NEGATIVE</v>
      </c>
      <c r="F222" s="1" t="str">
        <f>IFERROR(__xludf.DUMMYFUNCTION("""COMPUTED_VALUE"""),"Carbon Bubble DA/Green Finance CP")</f>
        <v>Carbon Bubble DA/Green Finance CP</v>
      </c>
      <c r="G222" s="1" t="str">
        <f>IFERROR(__xludf.DUMMYFUNCTION("""COMPUTED_VALUE"""),"This brief outlines why climate change poses a threat to financial stability in the
United States and details steps that regulators should take to integrate climate risk
into their regulatory and supervisory frameworks.")</f>
        <v>This brief outlines why climate change poses a threat to financial stability in the
United States and details steps that regulators should take to integrate climate risk
into their regulatory and supervisory frameworks.</v>
      </c>
      <c r="H222" s="1"/>
      <c r="I222" s="1" t="str">
        <f>IFERROR(__xludf.DUMMYFUNCTION("""COMPUTED_VALUE"""),"Leyba UO")</f>
        <v>Leyba UO</v>
      </c>
      <c r="J222" s="1" t="str">
        <f>IFERROR(__xludf.DUMMYFUNCTION("""COMPUTED_VALUE"""),"Wave 3 (Due Dec. 27)")</f>
        <v>Wave 3 (Due Dec. 27)</v>
      </c>
      <c r="K222" s="5" t="str">
        <f>IFERROR(__xludf.DUMMYFUNCTION("""COMPUTED_VALUE"""),"https://drive.google.com/open?id=1yP-Q014ObKr1_vvMLt4fLXx5_u7j_gdl")</f>
        <v>https://drive.google.com/open?id=1yP-Q014ObKr1_vvMLt4fLXx5_u7j_gdl</v>
      </c>
      <c r="L222" s="3" t="s">
        <v>2</v>
      </c>
    </row>
    <row r="223">
      <c r="A223" s="4">
        <f>IFERROR(__xludf.DUMMYFUNCTION("""COMPUTED_VALUE"""),45659.89081149305)</f>
        <v>45659.89081</v>
      </c>
      <c r="B223" s="1" t="str">
        <f>IFERROR(__xludf.DUMMYFUNCTION("""COMPUTED_VALUE"""),"leybasam@gmail.com")</f>
        <v>leybasam@gmail.com</v>
      </c>
      <c r="C223" s="1" t="str">
        <f>IFERROR(__xludf.DUMMYFUNCTION("""COMPUTED_VALUE"""),"Skinner, C. (2021). Central Banks and Climate Change")</f>
        <v>Skinner, C. (2021). Central Banks and Climate Change</v>
      </c>
      <c r="D223" s="1" t="str">
        <f>IFERROR(__xludf.DUMMYFUNCTION("""COMPUTED_VALUE"""),"Assistant Professor, The Wharton School of the University of Pennsylvania")</f>
        <v>Assistant Professor, The Wharton School of the University of Pennsylvania</v>
      </c>
      <c r="E223" s="1" t="str">
        <f>IFERROR(__xludf.DUMMYFUNCTION("""COMPUTED_VALUE"""),"AFFIRMATIVE")</f>
        <v>AFFIRMATIVE</v>
      </c>
      <c r="F223" s="1" t="str">
        <f>IFERROR(__xludf.DUMMYFUNCTION("""COMPUTED_VALUE"""),"Carbon Bubble DA/Green Finance CP")</f>
        <v>Carbon Bubble DA/Green Finance CP</v>
      </c>
      <c r="G223" s="1" t="str">
        <f>IFERROR(__xludf.DUMMYFUNCTION("""COMPUTED_VALUE"""),"Provides answers to the Green Finance CP. Argues that the CP would have limited legal authority to act and there are associated disadvantages to politicizing the Federal Reserve.")</f>
        <v>Provides answers to the Green Finance CP. Argues that the CP would have limited legal authority to act and there are associated disadvantages to politicizing the Federal Reserve.</v>
      </c>
      <c r="H223" s="1" t="str">
        <f>IFERROR(__xludf.DUMMYFUNCTION("""COMPUTED_VALUE"""),"Central banks are increasingly called upon to address climate change. Proposals for central bank action on climate change range from programs of “green” quantitative easing to increases in risk-based capital requirements meant to deter banks from lending "&amp;"to climate-unfriendly business. Politicians and academics alike have urged climate risk as both macroeconomic and financial stability risk. Relative to counterparts abroad, the U.S. central bank—the Federal Reserve—has been more measured in its response.
"&amp;"This Article offers a legal explanation why. It urges that, despite the substantive importance of climate change, the U.S. Federal Reserve presently has relatively limited legal authority to address that problem head-on. Drawing on insights from corporate"&amp;" finance and macroeconomics, the Article constructs a legal framework—stitching together a variety of Fed laws, regulations, and precedents of practice—to discern why many aspects of climate change sit outside the Fed’s legal remit today.
Ultimately, the "&amp;"Article tackles one of the most pressing rule-of-law questions facing the Fed today: What are the limits of the Fed’s mandates to address climate change and how far can the Fed press beyond those mandates to make the economy greener? In doing so, the Arti"&amp;"cle prompts reflection on the ideal role of the Fed vis-à-vis the fiscal authority of the Treasury, the political actors in Congress, and the Chief Executive.")</f>
        <v>Central banks are increasingly called upon to address climate change. Proposals for central bank action on climate change range from programs of “green” quantitative easing to increases in risk-based capital requirements meant to deter banks from lending to climate-unfriendly business. Politicians and academics alike have urged climate risk as both macroeconomic and financial stability risk. Relative to counterparts abroad, the U.S. central bank—the Federal Reserve—has been more measured in its response.
This Article offers a legal explanation why. It urges that, despite the substantive importance of climate change, the U.S. Federal Reserve presently has relatively limited legal authority to address that problem head-on. Drawing on insights from corporate finance and macroeconomics, the Article constructs a legal framework—stitching together a variety of Fed laws, regulations, and precedents of practice—to discern why many aspects of climate change sit outside the Fed’s legal remit today.
Ultimately, the Article tackles one of the most pressing rule-of-law questions facing the Fed today: What are the limits of the Fed’s mandates to address climate change and how far can the Fed press beyond those mandates to make the economy greener? In doing so, the Article prompts reflection on the ideal role of the Fed vis-à-vis the fiscal authority of the Treasury, the political actors in Congress, and the Chief Executive.</v>
      </c>
      <c r="I223" s="1" t="str">
        <f>IFERROR(__xludf.DUMMYFUNCTION("""COMPUTED_VALUE"""),"Leyba UO.")</f>
        <v>Leyba UO.</v>
      </c>
      <c r="J223" s="1" t="str">
        <f>IFERROR(__xludf.DUMMYFUNCTION("""COMPUTED_VALUE"""),"Wave 3 (Due Dec. 27)")</f>
        <v>Wave 3 (Due Dec. 27)</v>
      </c>
      <c r="K223" s="5" t="str">
        <f>IFERROR(__xludf.DUMMYFUNCTION("""COMPUTED_VALUE"""),"https://drive.google.com/open?id=1SOj-jJOEaCk4T3U1hMzykaldVn_jlcU4")</f>
        <v>https://drive.google.com/open?id=1SOj-jJOEaCk4T3U1hMzykaldVn_jlcU4</v>
      </c>
      <c r="L223" s="3" t="s">
        <v>1</v>
      </c>
    </row>
    <row r="224">
      <c r="A224" s="4">
        <f>IFERROR(__xludf.DUMMYFUNCTION("""COMPUTED_VALUE"""),45659.8937956713)</f>
        <v>45659.8938</v>
      </c>
      <c r="B224" s="1" t="str">
        <f>IFERROR(__xludf.DUMMYFUNCTION("""COMPUTED_VALUE"""),"leybasam@gmail.com")</f>
        <v>leybasam@gmail.com</v>
      </c>
      <c r="C224" s="1" t="str">
        <f>IFERROR(__xludf.DUMMYFUNCTION("""COMPUTED_VALUE"""),"Michaels, J. (2023) Capital Regulation as Climate Policy. Idaho Law Review Vol 59.")</f>
        <v>Michaels, J. (2023) Capital Regulation as Climate Policy. Idaho Law Review Vol 59.</v>
      </c>
      <c r="D224" s="1" t="str">
        <f>IFERROR(__xludf.DUMMYFUNCTION("""COMPUTED_VALUE"""),"Postdoctoral Associate and Heyman Fellow, Yale Law School; J.D., Yale Law School, 2023.")</f>
        <v>Postdoctoral Associate and Heyman Fellow, Yale Law School; J.D., Yale Law School, 2023.</v>
      </c>
      <c r="E224" s="1" t="str">
        <f>IFERROR(__xludf.DUMMYFUNCTION("""COMPUTED_VALUE"""),"NEGATIVE")</f>
        <v>NEGATIVE</v>
      </c>
      <c r="F224" s="1" t="str">
        <f>IFERROR(__xludf.DUMMYFUNCTION("""COMPUTED_VALUE"""),"Carbon Bubble DA/Green Finance CP")</f>
        <v>Carbon Bubble DA/Green Finance CP</v>
      </c>
      <c r="G224" s="1" t="str">
        <f>IFERROR(__xludf.DUMMYFUNCTION("""COMPUTED_VALUE"""),"Offers a detailed reply to the Skinner article. Argues for the legal authority of the counterplan.")</f>
        <v>Offers a detailed reply to the Skinner article. Argues for the legal authority of the counterplan.</v>
      </c>
      <c r="H224" s="1" t="str">
        <f>IFERROR(__xludf.DUMMYFUNCTION("""COMPUTED_VALUE"""),"Federal banking regulators are grappling with how to confront the threats posed by
climate change. There are increasingly loud calls for regulators to adjust the “riskweights”
used to calculate banks’ minimum capital requirements based on how
exposed thei"&amp;"r counterparties are to climate-related risks. This action could
safeguard the financial system, and potentially make it less desirable for banks to
lend to carbon-intensive activities. But other scholars have challenged the legality
and administrability "&amp;"of this proposal. They argue that it is difficult to gather reliable
empirical data about climate-related risks, and that any risk-weights that are not
grounded in such data impermissibly deviate from risk-weights’ intended purpose.
This Article argues th"&amp;"at these counter-claims are wrong. It does so by challenging
the widespread misconception of the nature and function of risk-weights. Riskweights
are unavoidably discretionary policy instruments. They cannot simply be set
through mechanical calculations, "&amp;"and always reflect a trade-off between limiting
risks to banks (counseling setting a higher risk-weight) and enabling them to extend
credit to a given activity in the real economy (counseling setting a lower riskweight).
At times, this trade-off has been "&amp;"explicit; it is always implicit in the exercise
of regulatory discretion.")</f>
        <v>Federal banking regulators are grappling with how to confront the threats posed by
climate change. There are increasingly loud calls for regulators to adjust the “riskweights”
used to calculate banks’ minimum capital requirements based on how
exposed their counterparties are to climate-related risks. This action could
safeguard the financial system, and potentially make it less desirable for banks to
lend to carbon-intensive activities. But other scholars have challenged the legality
and administrability of this proposal. They argue that it is difficult to gather reliable
empirical data about climate-related risks, and that any risk-weights that are not
grounded in such data impermissibly deviate from risk-weights’ intended purpose.
This Article argues that these counter-claims are wrong. It does so by challenging
the widespread misconception of the nature and function of risk-weights. Riskweights
are unavoidably discretionary policy instruments. They cannot simply be set
through mechanical calculations, and always reflect a trade-off between limiting
risks to banks (counseling setting a higher risk-weight) and enabling them to extend
credit to a given activity in the real economy (counseling setting a lower riskweight).
At times, this trade-off has been explicit; it is always implicit in the exercise
of regulatory discretion.</v>
      </c>
      <c r="I224" s="1" t="str">
        <f>IFERROR(__xludf.DUMMYFUNCTION("""COMPUTED_VALUE"""),"Leyba UO")</f>
        <v>Leyba UO</v>
      </c>
      <c r="J224" s="1" t="str">
        <f>IFERROR(__xludf.DUMMYFUNCTION("""COMPUTED_VALUE"""),"Wave 3 (Due Dec. 27)")</f>
        <v>Wave 3 (Due Dec. 27)</v>
      </c>
      <c r="K224" s="5" t="str">
        <f>IFERROR(__xludf.DUMMYFUNCTION("""COMPUTED_VALUE"""),"https://drive.google.com/open?id=1cq7vQ5IS7RjWAwiovnX_ot0VWBScoJFt")</f>
        <v>https://drive.google.com/open?id=1cq7vQ5IS7RjWAwiovnX_ot0VWBScoJFt</v>
      </c>
      <c r="L224" s="3" t="s">
        <v>2</v>
      </c>
    </row>
    <row r="225">
      <c r="A225" s="4">
        <f>IFERROR(__xludf.DUMMYFUNCTION("""COMPUTED_VALUE"""),45659.89574777777)</f>
        <v>45659.89575</v>
      </c>
      <c r="B225" s="1" t="str">
        <f>IFERROR(__xludf.DUMMYFUNCTION("""COMPUTED_VALUE"""),"leybasam@gmail.com")</f>
        <v>leybasam@gmail.com</v>
      </c>
      <c r="C225" s="1" t="str">
        <f>IFERROR(__xludf.DUMMYFUNCTION("""COMPUTED_VALUE"""),"Regunberg, A. (2023) The Federal Reserve's Responsibilities in a Warming World: A Normative Case and Strategic Primer for Fed Action on Climate Change. Ecology Law Quarterly, Vol 50:181.")</f>
        <v>Regunberg, A. (2023) The Federal Reserve's Responsibilities in a Warming World: A Normative Case and Strategic Primer for Fed Action on Climate Change. Ecology Law Quarterly, Vol 50:181.</v>
      </c>
      <c r="D225" s="1" t="str">
        <f>IFERROR(__xludf.DUMMYFUNCTION("""COMPUTED_VALUE"""),"Law clerk to the Honorable Mary S. McElroy, United States District Court for the District of Rhode Island; incoming Senior Climate Policy Advocate at Public Citizen.")</f>
        <v>Law clerk to the Honorable Mary S. McElroy, United States District Court for the District of Rhode Island; incoming Senior Climate Policy Advocate at Public Citizen.</v>
      </c>
      <c r="E225" s="1" t="str">
        <f>IFERROR(__xludf.DUMMYFUNCTION("""COMPUTED_VALUE"""),"NEGATIVE")</f>
        <v>NEGATIVE</v>
      </c>
      <c r="F225" s="1" t="str">
        <f>IFERROR(__xludf.DUMMYFUNCTION("""COMPUTED_VALUE"""),"Carbon Bubble DA/Green Finance CP")</f>
        <v>Carbon Bubble DA/Green Finance CP</v>
      </c>
      <c r="G225" s="1" t="str">
        <f>IFERROR(__xludf.DUMMYFUNCTION("""COMPUTED_VALUE"""),"Provides the main solvency advocate for the green finance counterplan.")</f>
        <v>Provides the main solvency advocate for the green finance counterplan.</v>
      </c>
      <c r="H225" s="1" t="str">
        <f>IFERROR(__xludf.DUMMYFUNCTION("""COMPUTED_VALUE"""),"According to one study, by the year 2100, the cost of unchecked climate
change could be as high as $551 trillion. This is broader money than currently
exists on earth, yet to date the Federal Reserve has failed to take any meaningful
action on climate. Th"&amp;"is Article argues that the Fed not only has the authority to
insulate our financial system from the contagious collapse of a dead-end fossil
fuel industry, but also that it cannot act in accordance with its congressional
mandates and statutory obligations"&amp;" without doing so. Through legal and
historical analysis, this Article examines how the structure of Fed
independence—far from requiring the Fed to eschew climate policy, as many
have claimed—militates for the Fed to take a leadership role in protecting t"&amp;"he
U.S. economy from the ravages of climate change. Finally, after describing the
regulatory and monetary-policy strategies the Fed could utilize to address
climate threats, this Article analyzes the resistance of these tools to judicial
review. This revi"&amp;"ew results in the somewhat paradoxical strategic
recommendation that the Fed’s use of its more sweeping monetary powers may,
in fact, be better able to withstand challenge than the deployment of its arguably
less controversial regulatory tools.")</f>
        <v>According to one study, by the year 2100, the cost of unchecked climate
change could be as high as $551 trillion. This is broader money than currently
exists on earth, yet to date the Federal Reserve has failed to take any meaningful
action on climate. This Article argues that the Fed not only has the authority to
insulate our financial system from the contagious collapse of a dead-end fossil
fuel industry, but also that it cannot act in accordance with its congressional
mandates and statutory obligations without doing so. Through legal and
historical analysis, this Article examines how the structure of Fed
independence—far from requiring the Fed to eschew climate policy, as many
have claimed—militates for the Fed to take a leadership role in protecting the
U.S. economy from the ravages of climate change. Finally, after describing the
regulatory and monetary-policy strategies the Fed could utilize to address
climate threats, this Article analyzes the resistance of these tools to judicial
review. This review results in the somewhat paradoxical strategic
recommendation that the Fed’s use of its more sweeping monetary powers may,
in fact, be better able to withstand challenge than the deployment of its arguably
less controversial regulatory tools.</v>
      </c>
      <c r="I225" s="1" t="str">
        <f>IFERROR(__xludf.DUMMYFUNCTION("""COMPUTED_VALUE"""),"Leyba UO")</f>
        <v>Leyba UO</v>
      </c>
      <c r="J225" s="1" t="str">
        <f>IFERROR(__xludf.DUMMYFUNCTION("""COMPUTED_VALUE"""),"Wave 3 (Due Dec. 27)")</f>
        <v>Wave 3 (Due Dec. 27)</v>
      </c>
      <c r="K225" s="5" t="str">
        <f>IFERROR(__xludf.DUMMYFUNCTION("""COMPUTED_VALUE"""),"https://drive.google.com/open?id=1LXt_nunC5PJtZ7dXMeQ3XaUy4dyYS5XI")</f>
        <v>https://drive.google.com/open?id=1LXt_nunC5PJtZ7dXMeQ3XaUy4dyYS5XI</v>
      </c>
      <c r="L225" s="3" t="s">
        <v>1</v>
      </c>
    </row>
    <row r="226">
      <c r="A226" s="4">
        <f>IFERROR(__xludf.DUMMYFUNCTION("""COMPUTED_VALUE"""),45659.899302418984)</f>
        <v>45659.8993</v>
      </c>
      <c r="B226" s="1" t="str">
        <f>IFERROR(__xludf.DUMMYFUNCTION("""COMPUTED_VALUE"""),"leybasam@gmail.com")</f>
        <v>leybasam@gmail.com</v>
      </c>
      <c r="C226" s="1" t="str">
        <f>IFERROR(__xludf.DUMMYFUNCTION("""COMPUTED_VALUE"""),"Carattini, Stefano and Sen, Suphi, Carbon Taxes and Stranded Assets: Evidence from Washington State (2019). CESifo Working Paper No. 7785.")</f>
        <v>Carattini, Stefano and Sen, Suphi, Carbon Taxes and Stranded Assets: Evidence from Washington State (2019). CESifo Working Paper No. 7785.</v>
      </c>
      <c r="D226" s="1" t="str">
        <f>IFERROR(__xludf.DUMMYFUNCTION("""COMPUTED_VALUE"""),"Caratini is at Georgia State University and Sen is at the Leibniz Institute for Economic Research at the University of Munich")</f>
        <v>Caratini is at Georgia State University and Sen is at the Leibniz Institute for Economic Research at the University of Munich</v>
      </c>
      <c r="E226" s="1" t="str">
        <f>IFERROR(__xludf.DUMMYFUNCTION("""COMPUTED_VALUE"""),"NEGATIVE")</f>
        <v>NEGATIVE</v>
      </c>
      <c r="F226" s="1" t="str">
        <f>IFERROR(__xludf.DUMMYFUNCTION("""COMPUTED_VALUE"""),"Carbon Bubble DA")</f>
        <v>Carbon Bubble DA</v>
      </c>
      <c r="G226" s="1" t="str">
        <f>IFERROR(__xludf.DUMMYFUNCTION("""COMPUTED_VALUE"""),"Provides links to the main aff areas in the topic")</f>
        <v>Provides links to the main aff areas in the topic</v>
      </c>
      <c r="H226" s="1" t="str">
        <f>IFERROR(__xludf.DUMMYFUNCTION("""COMPUTED_VALUE"""),"The climate challenge requires ambitious climate policy. A sudden increase in carbon prices can
lead to major shocks to the stock market. Some assets will lose part of their value, others all of
it, and hence become “stranded”. If the markets are not read"&amp;"y to absorb the shock, a financial
crisis could follow. How well investors anticipate, and thus how large these shocks may be, is
an empirical question. We analyze stock market reactions to the rejection of two carbon tax
initiatives by voters in Washingt"&amp;"on state. We build proper counterfactuals for Washington state
firms and find that these modest policy proposals with limited jurisdiction caused substantial
readjustments on the stock market, especially for carbon-intensive stocks. Our results reinforce
"&amp;"concerns about “stranded assets” and the risk of financial contagion. Our policy implications
support the inclusion of transition risks in macroprudential policymaking and carbon disclosure
and climate stress tests as the main policy responses.")</f>
        <v>The climate challenge requires ambitious climate policy. A sudden increase in carbon prices can
lead to major shocks to the stock market. Some assets will lose part of their value, others all of
it, and hence become “stranded”. If the markets are not ready to absorb the shock, a financial
crisis could follow. How well investors anticipate, and thus how large these shocks may be, is
an empirical question. We analyze stock market reactions to the rejection of two carbon tax
initiatives by voters in Washington state. We build proper counterfactuals for Washington state
firms and find that these modest policy proposals with limited jurisdiction caused substantial
readjustments on the stock market, especially for carbon-intensive stocks. Our results reinforce
concerns about “stranded assets” and the risk of financial contagion. Our policy implications
support the inclusion of transition risks in macroprudential policymaking and carbon disclosure
and climate stress tests as the main policy responses.</v>
      </c>
      <c r="I226" s="1" t="str">
        <f>IFERROR(__xludf.DUMMYFUNCTION("""COMPUTED_VALUE"""),"Leyba UO")</f>
        <v>Leyba UO</v>
      </c>
      <c r="J226" s="1" t="str">
        <f>IFERROR(__xludf.DUMMYFUNCTION("""COMPUTED_VALUE"""),"Wave 3 (Due Dec. 27)")</f>
        <v>Wave 3 (Due Dec. 27)</v>
      </c>
      <c r="K226" s="5" t="str">
        <f>IFERROR(__xludf.DUMMYFUNCTION("""COMPUTED_VALUE"""),"https://drive.google.com/open?id=1cZXt1cWkk8o1iQPu8b2qZtNnxDZBk4s4")</f>
        <v>https://drive.google.com/open?id=1cZXt1cWkk8o1iQPu8b2qZtNnxDZBk4s4</v>
      </c>
      <c r="L226" s="3" t="s">
        <v>1</v>
      </c>
    </row>
    <row r="227">
      <c r="A227" s="4">
        <f>IFERROR(__xludf.DUMMYFUNCTION("""COMPUTED_VALUE"""),45660.47617875)</f>
        <v>45660.47618</v>
      </c>
      <c r="B227" s="1" t="str">
        <f>IFERROR(__xludf.DUMMYFUNCTION("""COMPUTED_VALUE"""),"pnagy528@gmail.com")</f>
        <v>pnagy528@gmail.com</v>
      </c>
      <c r="C227" s="1" t="str">
        <f>IFERROR(__xludf.DUMMYFUNCTION("""COMPUTED_VALUE"""),"Sen, S., &amp; Von Schickfus, M. T. (2020). Climate policy, stranded assets, and investors’ expectations. Journal of Environmental Economics and Management, 100, 102277.")</f>
        <v>Sen, S., &amp; Von Schickfus, M. T. (2020). Climate policy, stranded assets, and investors’ expectations. Journal of Environmental Economics and Management, 100, 102277.</v>
      </c>
      <c r="D227" s="1" t="str">
        <f>IFERROR(__xludf.DUMMYFUNCTION("""COMPUTED_VALUE"""),"Sen is a junior fellow at ifo Institute - Leibniz Institute for Economic Research at the University of Munich, Von Schickfus is a climate economist at ifo Institute - Leibniz Institute for Economic Research at the University of Munich ")</f>
        <v>Sen is a junior fellow at ifo Institute - Leibniz Institute for Economic Research at the University of Munich, Von Schickfus is a climate economist at ifo Institute - Leibniz Institute for Economic Research at the University of Munich </v>
      </c>
      <c r="E227" s="1" t="str">
        <f>IFERROR(__xludf.DUMMYFUNCTION("""COMPUTED_VALUE"""),"AFFIRMATIVE")</f>
        <v>AFFIRMATIVE</v>
      </c>
      <c r="F227" s="1" t="str">
        <f>IFERROR(__xludf.DUMMYFUNCTION("""COMPUTED_VALUE"""),"Carbon Bubble")</f>
        <v>Carbon Bubble</v>
      </c>
      <c r="G227" s="1" t="str">
        <f>IFERROR(__xludf.DUMMYFUNCTION("""COMPUTED_VALUE"""),"Provides support that fossil fuel assets at risk of being stranded due to climate mitigation policies and argues politicians will bail out these assets at great expense")</f>
        <v>Provides support that fossil fuel assets at risk of being stranded due to climate mitigation policies and argues politicians will bail out these assets at great expense</v>
      </c>
      <c r="H227" s="1" t="str">
        <f>IFERROR(__xludf.DUMMYFUNCTION("""COMPUTED_VALUE"""),"Climate policies to keep global warming below 2°C might render some of the world's fossil fuels and related infrastructure worthless prior to the end of their economic life time. Therefore, some energy-sector assets are at risk of becoming stranded. This "&amp;"paper investigates whether and how investors price in this risk of asset stranding. We exploit the gradual development of a German climate policy proposal aimed at reducing electricity production from coal and analyze its effect on the valuation of energy"&amp;" utilities. We find that investors take stranded asset risk into consideration, but that they also expect a financial compensation for their stranded assets.")</f>
        <v>Climate policies to keep global warming below 2°C might render some of the world's fossil fuels and related infrastructure worthless prior to the end of their economic life time. Therefore, some energy-sector assets are at risk of becoming stranded. This paper investigates whether and how investors price in this risk of asset stranding. We exploit the gradual development of a German climate policy proposal aimed at reducing electricity production from coal and analyze its effect on the valuation of energy utilities. We find that investors take stranded asset risk into consideration, but that they also expect a financial compensation for their stranded assets.</v>
      </c>
      <c r="I227" s="1" t="str">
        <f>IFERROR(__xludf.DUMMYFUNCTION("""COMPUTED_VALUE"""),"Nagy Oregon")</f>
        <v>Nagy Oregon</v>
      </c>
      <c r="J227" s="1" t="str">
        <f>IFERROR(__xludf.DUMMYFUNCTION("""COMPUTED_VALUE"""),"Wave 3 (Due Dec. 27)")</f>
        <v>Wave 3 (Due Dec. 27)</v>
      </c>
      <c r="K227" s="5" t="str">
        <f>IFERROR(__xludf.DUMMYFUNCTION("""COMPUTED_VALUE"""),"https://drive.google.com/open?id=1-itfCbE0Gdc4CrOioZjpZxP_uABaRdZC")</f>
        <v>https://drive.google.com/open?id=1-itfCbE0Gdc4CrOioZjpZxP_uABaRdZC</v>
      </c>
      <c r="L227" s="3" t="s">
        <v>1</v>
      </c>
    </row>
    <row r="228">
      <c r="A228" s="4">
        <f>IFERROR(__xludf.DUMMYFUNCTION("""COMPUTED_VALUE"""),45660.742866712964)</f>
        <v>45660.74287</v>
      </c>
      <c r="B228" s="1" t="str">
        <f>IFERROR(__xludf.DUMMYFUNCTION("""COMPUTED_VALUE"""),"21weikelk@gmail.com")</f>
        <v>21weikelk@gmail.com</v>
      </c>
      <c r="C228" s="1" t="str">
        <f>IFERROR(__xludf.DUMMYFUNCTION("""COMPUTED_VALUE"""),"Urpelainen, J., &amp; George, E. (2021, July 14). Reforming global fossil fuel subsidies: How the United States can restart international cooperation. Brookings.")</f>
        <v>Urpelainen, J., &amp; George, E. (2021, July 14). Reforming global fossil fuel subsidies: How the United States can restart international cooperation. Brookings.</v>
      </c>
      <c r="D228" s="1" t="str">
        <f>IFERROR(__xludf.DUMMYFUNCTION("""COMPUTED_VALUE"""),"Johannes Urpelainen is Professor of Energy, Resources and Environment - Johns Hopkins SAIS. Elisha George is Former Graduate Research Assistant - Initiative for Sustainable Energy Policy, Johns Hopkins University")</f>
        <v>Johannes Urpelainen is Professor of Energy, Resources and Environment - Johns Hopkins SAIS. Elisha George is Former Graduate Research Assistant - Initiative for Sustainable Energy Policy, Johns Hopkins University</v>
      </c>
      <c r="E228" s="1" t="str">
        <f>IFERROR(__xludf.DUMMYFUNCTION("""COMPUTED_VALUE"""),"AFFIRMATIVE")</f>
        <v>AFFIRMATIVE</v>
      </c>
      <c r="F228" s="1" t="str">
        <f>IFERROR(__xludf.DUMMYFUNCTION("""COMPUTED_VALUE"""),"Remove Fossil Fuel Subsidies")</f>
        <v>Remove Fossil Fuel Subsidies</v>
      </c>
      <c r="G228" s="1" t="str">
        <f>IFERROR(__xludf.DUMMYFUNCTION("""COMPUTED_VALUE"""),"This article lays out the ineffectiveness and harms of maintaining fossil fuel subsidies, proposing that the US should lead a charge in reforming production and consumption subsidies. Discusses reasons why fossil fuel subsidies haven't been reformed in th"&amp;"e past and looks at how the US government can restart fossil fuel subsidy reform. Useful for affirmative case.")</f>
        <v>This article lays out the ineffectiveness and harms of maintaining fossil fuel subsidies, proposing that the US should lead a charge in reforming production and consumption subsidies. Discusses reasons why fossil fuel subsidies haven't been reformed in the past and looks at how the US government can restart fossil fuel subsidy reform. Useful for affirmative case.</v>
      </c>
      <c r="H228" s="1"/>
      <c r="I228" s="1" t="str">
        <f>IFERROR(__xludf.DUMMYFUNCTION("""COMPUTED_VALUE"""),"Weikel UO")</f>
        <v>Weikel UO</v>
      </c>
      <c r="J228" s="1" t="str">
        <f>IFERROR(__xludf.DUMMYFUNCTION("""COMPUTED_VALUE"""),"Wave 3 (Due Dec. 27)")</f>
        <v>Wave 3 (Due Dec. 27)</v>
      </c>
      <c r="K228" s="5" t="str">
        <f>IFERROR(__xludf.DUMMYFUNCTION("""COMPUTED_VALUE"""),"https://drive.google.com/open?id=1G512GKgh5kTUkqGTb4mhyXK1RfpMZ1_G")</f>
        <v>https://drive.google.com/open?id=1G512GKgh5kTUkqGTb4mhyXK1RfpMZ1_G</v>
      </c>
      <c r="L228" s="3" t="s">
        <v>2</v>
      </c>
    </row>
    <row r="229">
      <c r="A229" s="4">
        <f>IFERROR(__xludf.DUMMYFUNCTION("""COMPUTED_VALUE"""),45660.74448930555)</f>
        <v>45660.74449</v>
      </c>
      <c r="B229" s="1" t="str">
        <f>IFERROR(__xludf.DUMMYFUNCTION("""COMPUTED_VALUE"""),"21weikelk@gmail.com")</f>
        <v>21weikelk@gmail.com</v>
      </c>
      <c r="C229" s="1" t="str">
        <f>IFERROR(__xludf.DUMMYFUNCTION("""COMPUTED_VALUE"""),"Aldy, J. (2013). Proposal 5: Eliminating Fossil Fuel Subsidies. The Hamilton Project.")</f>
        <v>Aldy, J. (2013). Proposal 5: Eliminating Fossil Fuel Subsidies. The Hamilton Project.</v>
      </c>
      <c r="D229" s="1" t="str">
        <f>IFERROR(__xludf.DUMMYFUNCTION("""COMPUTED_VALUE"""),"Joe Aldy is an Assistant Professor of Public Policy at the John F. Kennedy School of Government at Harvard University, a Nonresident Fellow at Resources for the Future, and a Faculty Research Fellow at the National Bureau of Economic Research")</f>
        <v>Joe Aldy is an Assistant Professor of Public Policy at the John F. Kennedy School of Government at Harvard University, a Nonresident Fellow at Resources for the Future, and a Faculty Research Fellow at the National Bureau of Economic Research</v>
      </c>
      <c r="E229" s="1" t="str">
        <f>IFERROR(__xludf.DUMMYFUNCTION("""COMPUTED_VALUE"""),"AFFIRMATIVE")</f>
        <v>AFFIRMATIVE</v>
      </c>
      <c r="F229" s="1" t="str">
        <f>IFERROR(__xludf.DUMMYFUNCTION("""COMPUTED_VALUE"""),"Remove Fossil Fuel Subsidies")</f>
        <v>Remove Fossil Fuel Subsidies</v>
      </c>
      <c r="G229" s="1" t="str">
        <f>IFERROR(__xludf.DUMMYFUNCTION("""COMPUTED_VALUE"""),"Proposal of fossil fuel reform through elimination of tax provisions subsidizing fossil fuel production. Discusses more of the monetary side of fossil fuel subsidies and economic benefits of proposed reform.")</f>
        <v>Proposal of fossil fuel reform through elimination of tax provisions subsidizing fossil fuel production. Discusses more of the monetary side of fossil fuel subsidies and economic benefits of proposed reform.</v>
      </c>
      <c r="H229" s="1"/>
      <c r="I229" s="1" t="str">
        <f>IFERROR(__xludf.DUMMYFUNCTION("""COMPUTED_VALUE"""),"Weikel UO")</f>
        <v>Weikel UO</v>
      </c>
      <c r="J229" s="1" t="str">
        <f>IFERROR(__xludf.DUMMYFUNCTION("""COMPUTED_VALUE"""),"Wave 3 (Due Dec. 27)")</f>
        <v>Wave 3 (Due Dec. 27)</v>
      </c>
      <c r="K229" s="5" t="str">
        <f>IFERROR(__xludf.DUMMYFUNCTION("""COMPUTED_VALUE"""),"https://drive.google.com/open?id=1KypDwTNt1hscWlPaA5Q9wX_XLeOfkqsW")</f>
        <v>https://drive.google.com/open?id=1KypDwTNt1hscWlPaA5Q9wX_XLeOfkqsW</v>
      </c>
      <c r="L229" s="3" t="s">
        <v>2</v>
      </c>
    </row>
    <row r="230">
      <c r="A230" s="4">
        <f>IFERROR(__xludf.DUMMYFUNCTION("""COMPUTED_VALUE"""),45660.840468622686)</f>
        <v>45660.84047</v>
      </c>
      <c r="B230" s="1" t="str">
        <f>IFERROR(__xludf.DUMMYFUNCTION("""COMPUTED_VALUE"""),"21weikelk@gmail.com")</f>
        <v>21weikelk@gmail.com</v>
      </c>
      <c r="C230" s="1" t="str">
        <f>IFERROR(__xludf.DUMMYFUNCTION("""COMPUTED_VALUE"""),"Horowitz, J. (2022). Ditching fossil fuel subsidies can trigger unrest. Keeping them will kill the climate. CNN")</f>
        <v>Horowitz, J. (2022). Ditching fossil fuel subsidies can trigger unrest. Keeping them will kill the climate. CNN</v>
      </c>
      <c r="D230" s="1" t="str">
        <f>IFERROR(__xludf.DUMMYFUNCTION("""COMPUTED_VALUE"""),"Horowitz graduated from the University of Virginia, where she majored in political and social thought.Julia Horowitz is a senior writer. She leads CNN Business’ international coverage of global markets and business.")</f>
        <v>Horowitz graduated from the University of Virginia, where she majored in political and social thought.Julia Horowitz is a senior writer. She leads CNN Business’ international coverage of global markets and business.</v>
      </c>
      <c r="E230" s="1" t="str">
        <f>IFERROR(__xludf.DUMMYFUNCTION("""COMPUTED_VALUE"""),"NEGATIVE")</f>
        <v>NEGATIVE</v>
      </c>
      <c r="F230" s="1" t="str">
        <f>IFERROR(__xludf.DUMMYFUNCTION("""COMPUTED_VALUE"""),"Remove Fossil Fuel Subsidies")</f>
        <v>Remove Fossil Fuel Subsidies</v>
      </c>
      <c r="G230" s="1" t="str">
        <f>IFERROR(__xludf.DUMMYFUNCTION("""COMPUTED_VALUE"""),"Argues that removing fossil fuel subsidies isn't an easy solution and can cause negative impacts on consumers. Looks at case study of Kazakhstan protests. Useful for some neg. case arguments on negative impacts from subsidy removal.")</f>
        <v>Argues that removing fossil fuel subsidies isn't an easy solution and can cause negative impacts on consumers. Looks at case study of Kazakhstan protests. Useful for some neg. case arguments on negative impacts from subsidy removal.</v>
      </c>
      <c r="H230" s="1"/>
      <c r="I230" s="1" t="str">
        <f>IFERROR(__xludf.DUMMYFUNCTION("""COMPUTED_VALUE"""),"Weikel UO")</f>
        <v>Weikel UO</v>
      </c>
      <c r="J230" s="1" t="str">
        <f>IFERROR(__xludf.DUMMYFUNCTION("""COMPUTED_VALUE"""),"Wave 3 (Due Dec. 27)")</f>
        <v>Wave 3 (Due Dec. 27)</v>
      </c>
      <c r="K230" s="5" t="str">
        <f>IFERROR(__xludf.DUMMYFUNCTION("""COMPUTED_VALUE"""),"https://drive.google.com/open?id=1Mu9WwA9sroKTzzllPhWxMFlmVYJj4DPB")</f>
        <v>https://drive.google.com/open?id=1Mu9WwA9sroKTzzllPhWxMFlmVYJj4DPB</v>
      </c>
      <c r="L230" s="3" t="s">
        <v>2</v>
      </c>
    </row>
    <row r="231">
      <c r="A231" s="4">
        <f>IFERROR(__xludf.DUMMYFUNCTION("""COMPUTED_VALUE"""),45660.84733497685)</f>
        <v>45660.84733</v>
      </c>
      <c r="B231" s="1" t="str">
        <f>IFERROR(__xludf.DUMMYFUNCTION("""COMPUTED_VALUE"""),"riley.rosalie@gmail.com")</f>
        <v>riley.rosalie@gmail.com</v>
      </c>
      <c r="C231" s="1" t="str">
        <f>IFERROR(__xludf.DUMMYFUNCTION("""COMPUTED_VALUE"""),"Blum, U. and Zhong, J. (2021). The Loss of Raw Material Criticality: Implications of the Collapse of Saudi Arabian Oil Exports, Intereconomics, 56(6), 362-370. ")</f>
        <v>Blum, U. and Zhong, J. (2021). The Loss of Raw Material Criticality: Implications of the Collapse of Saudi Arabian Oil Exports, Intereconomics, 56(6), 362-370. </v>
      </c>
      <c r="D231" s="1" t="str">
        <f>IFERROR(__xludf.DUMMYFUNCTION("""COMPUTED_VALUE"""),"Ulrich Blum is a Full Professor of Economics at the Martin-Luther-University Halle-Wittenberg (MLU) (Germany) and the Founding Director of the Center for Economics of Materials. Jiarui Zhong is a PhD student at Martin-Luther University Halle-Wittenberg, f"&amp;"ocusing on global value chain, input-output technologies, and regional economics. He has a masters degress in Empiric Economics and Policy Advisory from MLU in Germany. ")</f>
        <v>Ulrich Blum is a Full Professor of Economics at the Martin-Luther-University Halle-Wittenberg (MLU) (Germany) and the Founding Director of the Center for Economics of Materials. Jiarui Zhong is a PhD student at Martin-Luther University Halle-Wittenberg, focusing on global value chain, input-output technologies, and regional economics. He has a masters degress in Empiric Economics and Policy Advisory from MLU in Germany. </v>
      </c>
      <c r="E231" s="1" t="str">
        <f>IFERROR(__xludf.DUMMYFUNCTION("""COMPUTED_VALUE"""),"NEGATIVE")</f>
        <v>NEGATIVE</v>
      </c>
      <c r="F231" s="1" t="str">
        <f>IFERROR(__xludf.DUMMYFUNCTION("""COMPUTED_VALUE"""),"Oil DA")</f>
        <v>Oil DA</v>
      </c>
      <c r="G231" s="1" t="str">
        <f>IFERROR(__xludf.DUMMYFUNCTION("""COMPUTED_VALUE"""),"uq/link for DA- Saudi Arabia is working to diversity their economy with the oil reserves to prepare for an inevitable transition to global green energy, but states decarbonizing too soon (or the perception of a mass move away from oil) will collapse their"&amp;" exports and create massive shocks to their economy ")</f>
        <v>uq/link for DA- Saudi Arabia is working to diversity their economy with the oil reserves to prepare for an inevitable transition to global green energy, but states decarbonizing too soon (or the perception of a mass move away from oil) will collapse their exports and create massive shocks to their economy </v>
      </c>
      <c r="H231" s="1" t="str">
        <f>IFERROR(__xludf.DUMMYFUNCTION("""COMPUTED_VALUE"""),"Raw material criticality has played an important role in geostrategic thinking, especially since the crisis surrounding the price and supply of rare earths at the beginning of the 2010s. However, once dependency and strategic importance grow too strong, s"&amp;"ubstitution efforts will take place that could reduce or even eradicate the previous criticality. Critical resources rarely become obsolete very quickly. However, this could happen in the case of crude oil because climate policy is forcing defossilisation"&amp;", but also because artificial scarcity is falling as a result of geostrategic rivalries that are causing oversupply. This article analyses this process and the possible consequences using Saudi Arabia as an example. The development of a green hydrogen ind"&amp;"ustry has potential, but it should not be overestimated in view of the absorption capacity of the economy.")</f>
        <v>Raw material criticality has played an important role in geostrategic thinking, especially since the crisis surrounding the price and supply of rare earths at the beginning of the 2010s. However, once dependency and strategic importance grow too strong, substitution efforts will take place that could reduce or even eradicate the previous criticality. Critical resources rarely become obsolete very quickly. However, this could happen in the case of crude oil because climate policy is forcing defossilisation, but also because artificial scarcity is falling as a result of geostrategic rivalries that are causing oversupply. This article analyses this process and the possible consequences using Saudi Arabia as an example. The development of a green hydrogen industry has potential, but it should not be overestimated in view of the absorption capacity of the economy.</v>
      </c>
      <c r="I231" s="1" t="str">
        <f>IFERROR(__xludf.DUMMYFUNCTION("""COMPUTED_VALUE"""),"Talamantes WSU")</f>
        <v>Talamantes WSU</v>
      </c>
      <c r="J231" s="1" t="str">
        <f>IFERROR(__xludf.DUMMYFUNCTION("""COMPUTED_VALUE"""),"Wave 3 (Due Dec. 27)")</f>
        <v>Wave 3 (Due Dec. 27)</v>
      </c>
      <c r="K231" s="5" t="str">
        <f>IFERROR(__xludf.DUMMYFUNCTION("""COMPUTED_VALUE"""),"https://drive.google.com/open?id=123zrFgwU59jWDCfoxRMijFg8_d3yzGqw")</f>
        <v>https://drive.google.com/open?id=123zrFgwU59jWDCfoxRMijFg8_d3yzGqw</v>
      </c>
      <c r="L231" s="3" t="s">
        <v>2</v>
      </c>
    </row>
    <row r="232">
      <c r="A232" s="4">
        <f>IFERROR(__xludf.DUMMYFUNCTION("""COMPUTED_VALUE"""),45660.86530076389)</f>
        <v>45660.8653</v>
      </c>
      <c r="B232" s="1" t="str">
        <f>IFERROR(__xludf.DUMMYFUNCTION("""COMPUTED_VALUE"""),"addypixie167@gmail.com")</f>
        <v>addypixie167@gmail.com</v>
      </c>
      <c r="C232" s="6" t="str">
        <f>IFERROR(__xludf.DUMMYFUNCTION("""COMPUTED_VALUE"""),"(PDF) Barriers to Corporate Sustainability in the U.S.")</f>
        <v>(PDF) Barriers to Corporate Sustainability in the U.S.</v>
      </c>
      <c r="D232" s="1" t="str">
        <f>IFERROR(__xludf.DUMMYFUNCTION("""COMPUTED_VALUE""")," Pavlina McGrady: School of Business, Southern Oregon University, USA Susan Golicic: Department of Management, Colorado State University, USA ")</f>
        <v> Pavlina McGrady: School of Business, Southern Oregon University, USA Susan Golicic: Department of Management, Colorado State University, USA </v>
      </c>
      <c r="E232" s="1" t="str">
        <f>IFERROR(__xludf.DUMMYFUNCTION("""COMPUTED_VALUE"""),"NEGATIVE")</f>
        <v>NEGATIVE</v>
      </c>
      <c r="F232" s="1" t="str">
        <f>IFERROR(__xludf.DUMMYFUNCTION("""COMPUTED_VALUE"""),"Carbon Tax and Emissions Trading")</f>
        <v>Carbon Tax and Emissions Trading</v>
      </c>
      <c r="G232" s="1" t="str">
        <f>IFERROR(__xludf.DUMMYFUNCTION("""COMPUTED_VALUE"""),"Defines Barriers in the status quo to corporate sustainability efforts and the difficulties in changing them, including limited human knowledge/resources, finances, and leadership. ")</f>
        <v>Defines Barriers in the status quo to corporate sustainability efforts and the difficulties in changing them, including limited human knowledge/resources, finances, and leadership. </v>
      </c>
      <c r="H232" s="1" t="str">
        <f>IFERROR(__xludf.DUMMYFUNCTION("""COMPUTED_VALUE"""),"Sustainability is critical to the future success of businesses; those that do not implement sustainability initiatives may lose customers, investors, and/or profits. This study examines barriers to corporate sustainability, measured through the four dimen"&amp;"sions of the Prism of Sustainability (environmental, social, economic, and institutional), a framework of sustainability not commonly used in business research. An online survey of sustainability managers from a variety of industries in the United States "&amp;"distributed in the spring of 2021 yielded a total of 361 responses. Results reveal that lack of leadership and lack of governance were the most predominant barriers to corporate sustainability. Surprisingly, the most frequently cited barrier in the litera"&amp;"ture—resources—was not identified as a significant barrier for U.S. companies. The impact of the pandemic was also qualitatively explored to see if such constraints might have a nuanced effect on corporate sustainability efforts. This research expands the"&amp;" contexts in which the Prism of Sustainability is applied in business studies, highlighting it as a means to assess corporate sustainability. Results provide important managerial implications, highlighting the importance of measures to govern the organiza"&amp;"tion’s sustainability effort and the critical role leadership plays. Sustainable management is a necessity for business, and therefore, addressing barriers to achieving it will be imperative for companies’ futures.   Keywords: corporate sustainability, pr"&amp;"ism of sustainability, barriers, pandemic ")</f>
        <v>Sustainability is critical to the future success of businesses; those that do not implement sustainability initiatives may lose customers, investors, and/or profits. This study examines barriers to corporate sustainability, measured through the four dimensions of the Prism of Sustainability (environmental, social, economic, and institutional), a framework of sustainability not commonly used in business research. An online survey of sustainability managers from a variety of industries in the United States distributed in the spring of 2021 yielded a total of 361 responses. Results reveal that lack of leadership and lack of governance were the most predominant barriers to corporate sustainability. Surprisingly, the most frequently cited barrier in the literature—resources—was not identified as a significant barrier for U.S. companies. The impact of the pandemic was also qualitatively explored to see if such constraints might have a nuanced effect on corporate sustainability efforts. This research expands the contexts in which the Prism of Sustainability is applied in business studies, highlighting it as a means to assess corporate sustainability. Results provide important managerial implications, highlighting the importance of measures to govern the organization’s sustainability effort and the critical role leadership plays. Sustainable management is a necessity for business, and therefore, addressing barriers to achieving it will be imperative for companies’ futures.   Keywords: corporate sustainability, prism of sustainability, barriers, pandemic </v>
      </c>
      <c r="I232" s="1" t="str">
        <f>IFERROR(__xludf.DUMMYFUNCTION("""COMPUTED_VALUE"""),"Soderquist GU")</f>
        <v>Soderquist GU</v>
      </c>
      <c r="J232" s="1" t="str">
        <f>IFERROR(__xludf.DUMMYFUNCTION("""COMPUTED_VALUE"""),"Wave 3 (Due Dec. 27)")</f>
        <v>Wave 3 (Due Dec. 27)</v>
      </c>
      <c r="K232" s="5" t="str">
        <f>IFERROR(__xludf.DUMMYFUNCTION("""COMPUTED_VALUE"""),"https://drive.google.com/open?id=1CjgiPXDKFVn7mUmXOHthfp96lOM8ZIdI")</f>
        <v>https://drive.google.com/open?id=1CjgiPXDKFVn7mUmXOHthfp96lOM8ZIdI</v>
      </c>
      <c r="L232" s="3" t="s">
        <v>2</v>
      </c>
    </row>
    <row r="233">
      <c r="A233" s="4">
        <f>IFERROR(__xludf.DUMMYFUNCTION("""COMPUTED_VALUE"""),45660.871962997684)</f>
        <v>45660.87196</v>
      </c>
      <c r="B233" s="1" t="str">
        <f>IFERROR(__xludf.DUMMYFUNCTION("""COMPUTED_VALUE"""),"riley.rosalie@gmail.com")</f>
        <v>riley.rosalie@gmail.com</v>
      </c>
      <c r="C233" s="1" t="str">
        <f>IFERROR(__xludf.DUMMYFUNCTION("""COMPUTED_VALUE"""),"Semieniuk, G. et al. (2021). Low-carbon transition risks for finance, WIREs Climate Change, 12(1), 1-24. ")</f>
        <v>Semieniuk, G. et al. (2021). Low-carbon transition risks for finance, WIREs Climate Change, 12(1), 1-24. </v>
      </c>
      <c r="D233" s="1" t="str">
        <f>IFERROR(__xludf.DUMMYFUNCTION("""COMPUTED_VALUE"""),"Gregor Semieniuk is an Assistant Research Professor at the Political Economy Research Institute and the Department of Economics at the University of Massachusetts Amherst. His research focuses on the energy and resource requirements of global economic gro"&amp;"wth and on the political economy of rapid, policy-induced structural change that is required for the transition to a low-carbon economy. ")</f>
        <v>Gregor Semieniuk is an Assistant Research Professor at the Political Economy Research Institute and the Department of Economics at the University of Massachusetts Amherst. His research focuses on the energy and resource requirements of global economic growth and on the political economy of rapid, policy-induced structural change that is required for the transition to a low-carbon economy. </v>
      </c>
      <c r="E233" s="1" t="str">
        <f>IFERROR(__xludf.DUMMYFUNCTION("""COMPUTED_VALUE"""),"NEGATIVE")</f>
        <v>NEGATIVE</v>
      </c>
      <c r="F233" s="1" t="str">
        <f>IFERROR(__xludf.DUMMYFUNCTION("""COMPUTED_VALUE"""),"Oil DA")</f>
        <v>Oil DA</v>
      </c>
      <c r="G233" s="1" t="str">
        <f>IFERROR(__xludf.DUMMYFUNCTION("""COMPUTED_VALUE"""),"UQ/Link for DA – the transition to low-carbon technologies globally will cause a rapid price collapse and wreck the financial systems for oil-dependent countries, lists specific mechanisms like subsidies, carbon tax, and cap-and-trade will lead to produce"&amp;"rs to flood the market and sell their oil for incredibly cheap, creates stranded assets and economic turmoil ")</f>
        <v>UQ/Link for DA – the transition to low-carbon technologies globally will cause a rapid price collapse and wreck the financial systems for oil-dependent countries, lists specific mechanisms like subsidies, carbon tax, and cap-and-trade will lead to producers to flood the market and sell their oil for incredibly cheap, creates stranded assets and economic turmoil </v>
      </c>
      <c r="H233" s="1" t="str">
        <f>IFERROR(__xludf.DUMMYFUNCTION("""COMPUTED_VALUE"""),"The transition to a low-carbon economy will entail a large-scale structural
change. Some industries will have to expand their relative economic weight,
while other industries, especially those directly linked to fossil fuel production
and consumption, wil"&amp;"l have to decline. Such a systemic shift may have major
repercussions on the stability of financial systems, via abrupt asset revaluations,
defaults on debt, and the creation of bubbles in rising industries. Studies
on previous industrial transitions have"&amp;" shed light on the financial transition
risks originating from rapidly rising “sunrise” industries. In contrast, a similar
conceptual understanding of risks from declining “sunset” industries is currently
lacking. We substantiate this claim with a critica"&amp;"l review of the conceptual
and historical literature, which also shows that most literature either
examines structural change in the real economy, or risks to financial stability,
but rarely both together. We contribute to filling this research gap by dev"&amp;"eloping
a consistent theoretical framework of the drivers, transmission channels,
and impacts of the phase-out of carbon-intensive industries on the financial
system and on the feedback from the financial system into the rest of the economy.
We also revie"&amp;"w the state of play of policy aiming to protect the financial
system from transition risks and spell out research implications.")</f>
        <v>The transition to a low-carbon economy will entail a large-scale structural
change. Some industries will have to expand their relative economic weight,
while other industries, especially those directly linked to fossil fuel production
and consumption, will have to decline. Such a systemic shift may have major
repercussions on the stability of financial systems, via abrupt asset revaluations,
defaults on debt, and the creation of bubbles in rising industries. Studies
on previous industrial transitions have shed light on the financial transition
risks originating from rapidly rising “sunrise” industries. In contrast, a similar
conceptual understanding of risks from declining “sunset” industries is currently
lacking. We substantiate this claim with a critical review of the conceptual
and historical literature, which also shows that most literature either
examines structural change in the real economy, or risks to financial stability,
but rarely both together. We contribute to filling this research gap by developing
a consistent theoretical framework of the drivers, transmission channels,
and impacts of the phase-out of carbon-intensive industries on the financial
system and on the feedback from the financial system into the rest of the economy.
We also review the state of play of policy aiming to protect the financial
system from transition risks and spell out research implications.</v>
      </c>
      <c r="I233" s="1" t="str">
        <f>IFERROR(__xludf.DUMMYFUNCTION("""COMPUTED_VALUE"""),"Talamantes WSU")</f>
        <v>Talamantes WSU</v>
      </c>
      <c r="J233" s="1" t="str">
        <f>IFERROR(__xludf.DUMMYFUNCTION("""COMPUTED_VALUE"""),"Wave 3 (Due Dec. 27)")</f>
        <v>Wave 3 (Due Dec. 27)</v>
      </c>
      <c r="K233" s="5" t="str">
        <f>IFERROR(__xludf.DUMMYFUNCTION("""COMPUTED_VALUE"""),"https://drive.google.com/open?id=144FKo5LV6YJ_wn-ZRlU-RagmDt8QYqnN")</f>
        <v>https://drive.google.com/open?id=144FKo5LV6YJ_wn-ZRlU-RagmDt8QYqnN</v>
      </c>
      <c r="L233" s="3" t="s">
        <v>2</v>
      </c>
    </row>
    <row r="234">
      <c r="A234" s="4">
        <f>IFERROR(__xludf.DUMMYFUNCTION("""COMPUTED_VALUE"""),45660.87277664352)</f>
        <v>45660.87278</v>
      </c>
      <c r="B234" s="1" t="str">
        <f>IFERROR(__xludf.DUMMYFUNCTION("""COMPUTED_VALUE"""),"addypixie167@gmail.com")</f>
        <v>addypixie167@gmail.com</v>
      </c>
      <c r="C234" s="1" t="str">
        <f>IFERROR(__xludf.DUMMYFUNCTION("""COMPUTED_VALUE"""),"World Trade Organization. (2022). Small business and climate change. https://www.wto.org/english/tratop_e/msmes_e/ersd_research_note3_small_business_and_climate_change.pdf ")</f>
        <v>World Trade Organization. (2022). Small business and climate change. https://www.wto.org/english/tratop_e/msmes_e/ersd_research_note3_small_business_and_climate_change.pdf </v>
      </c>
      <c r="D234" s="1" t="str">
        <f>IFERROR(__xludf.DUMMYFUNCTION("""COMPUTED_VALUE"""),"     World Trade Organization")</f>
        <v>     World Trade Organization</v>
      </c>
      <c r="E234" s="1" t="str">
        <f>IFERROR(__xludf.DUMMYFUNCTION("""COMPUTED_VALUE"""),"NEGATIVE")</f>
        <v>NEGATIVE</v>
      </c>
      <c r="F234" s="1" t="str">
        <f>IFERROR(__xludf.DUMMYFUNCTION("""COMPUTED_VALUE"""),"Carbon Tax and Cap and Trade")</f>
        <v>Carbon Tax and Cap and Trade</v>
      </c>
      <c r="G234" s="1" t="str">
        <f>IFERROR(__xludf.DUMMYFUNCTION("""COMPUTED_VALUE"""),"Arguments demonstrating the harms and difficulties small scale businesses face in the light of the climate crisis and switch to sustainability. Focuses on cost of transition, and inability to participate. Uses metrics")</f>
        <v>Arguments demonstrating the harms and difficulties small scale businesses face in the light of the climate crisis and switch to sustainability. Focuses on cost of transition, and inability to participate. Uses metrics</v>
      </c>
      <c r="H234" s="1" t="str">
        <f>IFERROR(__xludf.DUMMYFUNCTION("""COMPUTED_VALUE"""),"To address climate change, businesses of all sizes will need to contribute to decarbonization efforts by reducing behaviours harmful to the climate and environment and by engaging in sustainable practices. Based on responses from two surveys by Meta, micr"&amp;"o, small and medium-sized enterprises (MSMEs) are aware of climate change, and know that they need to adopt decarbonization practices in order to participate in supply chains, but they face obstacles, especially in accessing information about the changes "&amp;"to be made in their businesses and the cost of change. When offering policy support, governments should focus on clear decarbonization agendas that include widely disseminated information on requiremets [sic], tools for MSMEs to assess their climate impac"&amp;"t, and access to green finance. ")</f>
        <v>To address climate change, businesses of all sizes will need to contribute to decarbonization efforts by reducing behaviours harmful to the climate and environment and by engaging in sustainable practices. Based on responses from two surveys by Meta, micro, small and medium-sized enterprises (MSMEs) are aware of climate change, and know that they need to adopt decarbonization practices in order to participate in supply chains, but they face obstacles, especially in accessing information about the changes to be made in their businesses and the cost of change. When offering policy support, governments should focus on clear decarbonization agendas that include widely disseminated information on requiremets [sic], tools for MSMEs to assess their climate impact, and access to green finance. </v>
      </c>
      <c r="I234" s="1" t="str">
        <f>IFERROR(__xludf.DUMMYFUNCTION("""COMPUTED_VALUE"""),"Soderqusit GU")</f>
        <v>Soderqusit GU</v>
      </c>
      <c r="J234" s="1" t="str">
        <f>IFERROR(__xludf.DUMMYFUNCTION("""COMPUTED_VALUE"""),"Wave 3 (Due Dec. 27)")</f>
        <v>Wave 3 (Due Dec. 27)</v>
      </c>
      <c r="K234" s="5" t="str">
        <f>IFERROR(__xludf.DUMMYFUNCTION("""COMPUTED_VALUE"""),"https://drive.google.com/open?id=19g94vQvkVxeogIx9wCo7VhjwFmRm8TxW")</f>
        <v>https://drive.google.com/open?id=19g94vQvkVxeogIx9wCo7VhjwFmRm8TxW</v>
      </c>
      <c r="L234" s="3" t="s">
        <v>2</v>
      </c>
    </row>
    <row r="235">
      <c r="A235" s="4">
        <f>IFERROR(__xludf.DUMMYFUNCTION("""COMPUTED_VALUE"""),45660.87301613426)</f>
        <v>45660.87302</v>
      </c>
      <c r="B235" s="1" t="str">
        <f>IFERROR(__xludf.DUMMYFUNCTION("""COMPUTED_VALUE"""),"riley.rosalie@gmail.com")</f>
        <v>riley.rosalie@gmail.com</v>
      </c>
      <c r="C235" s="1" t="str">
        <f>IFERROR(__xludf.DUMMYFUNCTION("""COMPUTED_VALUE"""),"Sarkar, A. and de Waal, A. (2024). Going ‘cold turkey’: Oil addiction and ‘traumatic’ decarbonization in fragile fossil fuel producers, Environment and Security, 2(3), 323-347")</f>
        <v>Sarkar, A. and de Waal, A. (2024). Going ‘cold turkey’: Oil addiction and ‘traumatic’ decarbonization in fragile fossil fuel producers, Environment and Security, 2(3), 323-347</v>
      </c>
      <c r="D235" s="1" t="str">
        <f>IFERROR(__xludf.DUMMYFUNCTION("""COMPUTED_VALUE"""),"Alex de Waal is a Research Professor at The Fletcher School, Tufts University, and leads the WPF research programs on African Peacemaking and Mass Starvation. Considered one of the foremost experts on the Horn of Africa, his scholarly work and practice ha"&amp;"s also probed humanitarian crisis and response, human rights, pandemic disease, and conflict and peace-building. Aditya Sarkar is a PhD candidate at the Fletcher School at Tufts University and is a research fellow at the Peace &amp; Conflict Resolution Eviden"&amp;"ce Platform led by the University of Edinburgh Law School. He is a former visiting fellow at the World Peace Foundation, and a researcher on the Conflict Research Programme. ")</f>
        <v>Alex de Waal is a Research Professor at The Fletcher School, Tufts University, and leads the WPF research programs on African Peacemaking and Mass Starvation. Considered one of the foremost experts on the Horn of Africa, his scholarly work and practice has also probed humanitarian crisis and response, human rights, pandemic disease, and conflict and peace-building. Aditya Sarkar is a PhD candidate at the Fletcher School at Tufts University and is a research fellow at the Peace &amp; Conflict Resolution Evidence Platform led by the University of Edinburgh Law School. He is a former visiting fellow at the World Peace Foundation, and a researcher on the Conflict Research Programme. </v>
      </c>
      <c r="E235" s="1" t="str">
        <f>IFERROR(__xludf.DUMMYFUNCTION("""COMPUTED_VALUE"""),"NEGATIVE")</f>
        <v>NEGATIVE</v>
      </c>
      <c r="F235" s="1" t="str">
        <f>IFERROR(__xludf.DUMMYFUNCTION("""COMPUTED_VALUE"""),"Oil DA")</f>
        <v>Oil DA</v>
      </c>
      <c r="G235" s="1" t="str">
        <f>IFERROR(__xludf.DUMMYFUNCTION("""COMPUTED_VALUE"""),"Impact card- does case study comparisons on how decarb will impact people in the countries of Sudan, South Sudan, Venezuela, Nigeria, Iraq, and Ecuador but elaborates on how it will impact other nations. Article argues decarb creates major political/econo"&amp;"mic/civil disruption in already vulnerable countries/areas, exacerbates cartel violence in south American countries, and maintains political elites. Great argument for why the aff is not an enviro just transition. ")</f>
        <v>Impact card- does case study comparisons on how decarb will impact people in the countries of Sudan, South Sudan, Venezuela, Nigeria, Iraq, and Ecuador but elaborates on how it will impact other nations. Article argues decarb creates major political/economic/civil disruption in already vulnerable countries/areas, exacerbates cartel violence in south American countries, and maintains political elites. Great argument for why the aff is not an enviro just transition. </v>
      </c>
      <c r="H235" s="1" t="str">
        <f>IFERROR(__xludf.DUMMYFUNCTION("""COMPUTED_VALUE"""),"Decarbonization, or the replacement of fossil fuels by renewables or ‘cleaner’ forms of energy, is an essential response to global warming. A gap in the debate on decarbonization is its implications for fragile fossil fuel-producing states (FFFPs). Unable"&amp;" to implement strategies for planned decarbonization, FFFPs face the prospect of rapid, unmanaged ‘traumatic’ decarbonization. This paper examines the political economy of this phenomenon drawing on six countries that have experienced dramatic losses in c"&amp;"arbon revenues in the recent past: Ecuador, Iraq, Nigeria, South Sudan, Sudan and Venezuela. It also draws on two thematic papers – on peace-making during oil shocks and a review of the literature on energy transition in fragile states. The paper finds th"&amp;"at in decarbonizing FFFPs, the rules of the political game tend to be ‘sticky’ and elites react to the loss of oil revenues by looking for alternate sources of rent and turning to coercion. Political settlements including peace agreements are structured a"&amp;"round the allocation of oil rents to elites and their
future viability is in question. We find only modest evidence for sustainable and democratic paths away from a carbon-based political settlement, despite the efforts of civic movements.")</f>
        <v>Decarbonization, or the replacement of fossil fuels by renewables or ‘cleaner’ forms of energy, is an essential response to global warming. A gap in the debate on decarbonization is its implications for fragile fossil fuel-producing states (FFFPs). Unable to implement strategies for planned decarbonization, FFFPs face the prospect of rapid, unmanaged ‘traumatic’ decarbonization. This paper examines the political economy of this phenomenon drawing on six countries that have experienced dramatic losses in carbon revenues in the recent past: Ecuador, Iraq, Nigeria, South Sudan, Sudan and Venezuela. It also draws on two thematic papers – on peace-making during oil shocks and a review of the literature on energy transition in fragile states. The paper finds that in decarbonizing FFFPs, the rules of the political game tend to be ‘sticky’ and elites react to the loss of oil revenues by looking for alternate sources of rent and turning to coercion. Political settlements including peace agreements are structured around the allocation of oil rents to elites and their
future viability is in question. We find only modest evidence for sustainable and democratic paths away from a carbon-based political settlement, despite the efforts of civic movements.</v>
      </c>
      <c r="I235" s="1" t="str">
        <f>IFERROR(__xludf.DUMMYFUNCTION("""COMPUTED_VALUE"""),"Talamantes WSU")</f>
        <v>Talamantes WSU</v>
      </c>
      <c r="J235" s="1" t="str">
        <f>IFERROR(__xludf.DUMMYFUNCTION("""COMPUTED_VALUE"""),"Wave 3 (Due Dec. 27)")</f>
        <v>Wave 3 (Due Dec. 27)</v>
      </c>
      <c r="K235" s="5" t="str">
        <f>IFERROR(__xludf.DUMMYFUNCTION("""COMPUTED_VALUE"""),"https://drive.google.com/open?id=1E5oKWUFuxXCJTF4Mg3CwjHO-ga1LOHeN")</f>
        <v>https://drive.google.com/open?id=1E5oKWUFuxXCJTF4Mg3CwjHO-ga1LOHeN</v>
      </c>
      <c r="L235" s="3" t="s">
        <v>2</v>
      </c>
    </row>
    <row r="236">
      <c r="A236" s="4">
        <f>IFERROR(__xludf.DUMMYFUNCTION("""COMPUTED_VALUE"""),45660.87403810185)</f>
        <v>45660.87404</v>
      </c>
      <c r="B236" s="1" t="str">
        <f>IFERROR(__xludf.DUMMYFUNCTION("""COMPUTED_VALUE"""),"riley.rosalie@gmail.com")</f>
        <v>riley.rosalie@gmail.com</v>
      </c>
      <c r="C236" s="1" t="str">
        <f>IFERROR(__xludf.DUMMYFUNCTION("""COMPUTED_VALUE"""),"Scafetta, N. (2024). Impacts and Risks of ‘Realistic’ Global Warming Projections for the 21st Century, Geoscience Frontiers, 15(2), 1-25. ")</f>
        <v>Scafetta, N. (2024). Impacts and Risks of ‘Realistic’ Global Warming Projections for the 21st Century, Geoscience Frontiers, 15(2), 1-25. </v>
      </c>
      <c r="D236" s="1" t="str">
        <f>IFERROR(__xludf.DUMMYFUNCTION("""COMPUTED_VALUE"""),"Nicola Scafetta is a research scientist at the University of Napoli Federico II. He was formerly at the ACRIM Lab group and an adjunct assistant professor in the physics department at Duke University. His research interests are in theoretical and applied "&amp;"statistics and nonlinear models of complex processes. He does extensive research in climate policy, solar physics, and complex systems. ")</f>
        <v>Nicola Scafetta is a research scientist at the University of Napoli Federico II. He was formerly at the ACRIM Lab group and an adjunct assistant professor in the physics department at Duke University. His research interests are in theoretical and applied statistics and nonlinear models of complex processes. He does extensive research in climate policy, solar physics, and complex systems. </v>
      </c>
      <c r="E236" s="1" t="str">
        <f>IFERROR(__xludf.DUMMYFUNCTION("""COMPUTED_VALUE"""),"NEGATIVE")</f>
        <v>NEGATIVE</v>
      </c>
      <c r="F236" s="1" t="str">
        <f>IFERROR(__xludf.DUMMYFUNCTION("""COMPUTED_VALUE"""),"Warming Defense")</f>
        <v>Warming Defense</v>
      </c>
      <c r="G236" s="1" t="str">
        <f>IFERROR(__xludf.DUMMYFUNCTION("""COMPUTED_VALUE"""),"Impact defense to warming scenarios. Discusses the realities of climate change, they will not be dramatic events and will slowly happen over time, argues humans have adaptive nature and will create mitigation policies to lessen the damage of climate chang"&amp;"e, going above 2 degrees will be a mild change and challenges this notion from the IPCC")</f>
        <v>Impact defense to warming scenarios. Discusses the realities of climate change, they will not be dramatic events and will slowly happen over time, argues humans have adaptive nature and will create mitigation policies to lessen the damage of climate change, going above 2 degrees will be a mild change and challenges this notion from the IPCC</v>
      </c>
      <c r="H236" s="1" t="str">
        <f>IFERROR(__xludf.DUMMYFUNCTION("""COMPUTED_VALUE"""),"The IPCC AR6 assessment of the impacts and risks associated with projected climate changes for the 21st century is both alarming and ambiguous. According to computer projections, global surface temperature may warm from 1.3 C to 8.0 C by 2100, depending o"&amp;"n the global climate model (GCM) and the shared socioeconomic pathway (SSP) scenario used for the simulations. Actual climate-change hazards are estimated to be high and very high if the global surface temperature rises, respectively, more than 2.0 C and "&amp;"3.0 C above pre-industrial levels. Recent studies, however, showed that a substantial number of CMIP6 GCMs run ‘‘too hot” because they appear to be too sensitive to radiative forcing, and that the high/extreme emission scenarios SSP3-7.0 and SSP5-8.5 are "&amp;"to be rejected because judged to be unlikely and highly unlikely, respectively. Yet, the IPCC AR6 mostly focused on such alarmistic scenarios for risk assessments. This paper examines the impacts and risks of ‘‘realistic” climate change projections for th"&amp;"e 21st century generated by assessing the theoretical models and integrating them with the existing empirical knowledge on global warming and the various natural cycles of climate change that have been recorded by a variety of scientists and historians. T"&amp;"his is achieved by combining the SSP2-4.5 scenario (which is the most likely SSP according to the current policies reported by the International Energy Agency) and empirically optimized climate modeling. According to recent research, the GCM macroensemble"&amp;" that best hindcast the global surface warming observed from 1980 to 1990 to 2012–2022 should be made up of models that are characterized by a low equilibrium climate sensitivity (ECS) (1.5 C &lt; ECS 3.0 C), in contrast to the IPCC AR6 likely and very likel"&amp;"y ECS ranges at 2.5–4.0 C and 2.05.0 C, respectively. I show that the low-ECS macro-GCM with the SSP2-4.5 scenario projects a global surface temperature warming of 1.68–3.09 Cby 2080–2100 instead of1.98–3.82 Cobtained with theGCMs with ECS in the 2.5–4.0 "&amp;"C range. However, if the global surface temperature records are affected by significant non-climatic warm biases — as suggested by satellite-based lower troposphere temperature records and current studies on urban heat island effects — the same climate si"&amp;"mulations should be scaled down by about 30%, resulting in a warming of about 1.18–2.16 C by 2080–2100. Furthermore, similar moderate warming estimates (1.15–2.52 C) are also projected by alternative empirically derived models that aim to recreate the dec"&amp;"adal-to-millennial natural climatic oscillations, which the GCMs do not reproduce. The proposed methodologies aim to simulate hypothetical models supposed to optimally hindcast the actual available data. The obtained climate projections show that the expe"&amp;"cted global surface warming for the 21st-century will likely be mild, that is, no more than 2.5–3.0 C and, on average, likely below the 2.0 C threshold. This should allow for the mitigation and management of the most dangerous climate-change related hazar"&amp;"ds through appropriate low-cost adaptation policies. In conclusion, enforcing expensive decarbonization and net-zero emission scenarios, such as SSP1-2.6, is not required because the Paris Agreement temperature target of keeping global warming &lt; 2 C throu"&amp;"ghout the 21st century should be compatible also with moderate and pragmatic shared socioeconomic pathways such as the SSP2-4.5")</f>
        <v>The IPCC AR6 assessment of the impacts and risks associated with projected climate changes for the 21st century is both alarming and ambiguous. According to computer projections, global surface temperature may warm from 1.3 C to 8.0 C by 2100, depending on the global climate model (GCM) and the shared socioeconomic pathway (SSP) scenario used for the simulations. Actual climate-change hazards are estimated to be high and very high if the global surface temperature rises, respectively, more than 2.0 C and 3.0 C above pre-industrial levels. Recent studies, however, showed that a substantial number of CMIP6 GCMs run ‘‘too hot” because they appear to be too sensitive to radiative forcing, and that the high/extreme emission scenarios SSP3-7.0 and SSP5-8.5 are to be rejected because judged to be unlikely and highly unlikely, respectively. Yet, the IPCC AR6 mostly focused on such alarmistic scenarios for risk assessments. This paper examines the impacts and risks of ‘‘realistic” climate change projections for the 21st century generated by assessing the theoretical models and integrating them with the existing empirical knowledge on global warming and the various natural cycles of climate change that have been recorded by a variety of scientists and historians. This is achieved by combining the SSP2-4.5 scenario (which is the most likely SSP according to the current policies reported by the International Energy Agency) and empirically optimized climate modeling. According to recent research, the GCM macroensemble that best hindcast the global surface warming observed from 1980 to 1990 to 2012–2022 should be made up of models that are characterized by a low equilibrium climate sensitivity (ECS) (1.5 C &lt; ECS 3.0 C), in contrast to the IPCC AR6 likely and very likely ECS ranges at 2.5–4.0 C and 2.05.0 C, respectively. I show that the low-ECS macro-GCM with the SSP2-4.5 scenario projects a global surface temperature warming of 1.68–3.09 Cby 2080–2100 instead of1.98–3.82 Cobtained with theGCMs with ECS in the 2.5–4.0 C range. However, if the global surface temperature records are affected by significant non-climatic warm biases — as suggested by satellite-based lower troposphere temperature records and current studies on urban heat island effects — the same climate simulations should be scaled down by about 30%, resulting in a warming of about 1.18–2.16 C by 2080–2100. Furthermore, similar moderate warming estimates (1.15–2.52 C) are also projected by alternative empirically derived models that aim to recreate the decadal-to-millennial natural climatic oscillations, which the GCMs do not reproduce. The proposed methodologies aim to simulate hypothetical models supposed to optimally hindcast the actual available data. The obtained climate projections show that the expected global surface warming for the 21st-century will likely be mild, that is, no more than 2.5–3.0 C and, on average, likely below the 2.0 C threshold. This should allow for the mitigation and management of the most dangerous climate-change related hazards through appropriate low-cost adaptation policies. In conclusion, enforcing expensive decarbonization and net-zero emission scenarios, such as SSP1-2.6, is not required because the Paris Agreement temperature target of keeping global warming &lt; 2 C throughout the 21st century should be compatible also with moderate and pragmatic shared socioeconomic pathways such as the SSP2-4.5</v>
      </c>
      <c r="I236" s="1" t="str">
        <f>IFERROR(__xludf.DUMMYFUNCTION("""COMPUTED_VALUE"""),"Talamantes WSU")</f>
        <v>Talamantes WSU</v>
      </c>
      <c r="J236" s="1" t="str">
        <f>IFERROR(__xludf.DUMMYFUNCTION("""COMPUTED_VALUE"""),"Wave 3 (Due Dec. 27)")</f>
        <v>Wave 3 (Due Dec. 27)</v>
      </c>
      <c r="K236" s="5" t="str">
        <f>IFERROR(__xludf.DUMMYFUNCTION("""COMPUTED_VALUE"""),"https://drive.google.com/open?id=1kB1xwI1YFg3KxU_VrJT8CZksIy5yTC7e")</f>
        <v>https://drive.google.com/open?id=1kB1xwI1YFg3KxU_VrJT8CZksIy5yTC7e</v>
      </c>
      <c r="L236" s="3" t="s">
        <v>1</v>
      </c>
    </row>
    <row r="237">
      <c r="A237" s="4">
        <f>IFERROR(__xludf.DUMMYFUNCTION("""COMPUTED_VALUE"""),45660.875005497684)</f>
        <v>45660.87501</v>
      </c>
      <c r="B237" s="1" t="str">
        <f>IFERROR(__xludf.DUMMYFUNCTION("""COMPUTED_VALUE"""),"alexmooney256@gmail.com")</f>
        <v>alexmooney256@gmail.com</v>
      </c>
      <c r="C237" s="1" t="str">
        <f>IFERROR(__xludf.DUMMYFUNCTION("""COMPUTED_VALUE"""),"Gross, S. (2023). Reducing US oil demand, not production, is the way forward for the climate. Brookings Institution.")</f>
        <v>Gross, S. (2023). Reducing US oil demand, not production, is the way forward for the climate. Brookings Institution.</v>
      </c>
      <c r="D237" s="1" t="str">
        <f>IFERROR(__xludf.DUMMYFUNCTION("""COMPUTED_VALUE"""),"Samantha Gross Director - Energy Security and Climate Initiative, Fellow - Foreign Policy, Energy Security and Climate Initiative")</f>
        <v>Samantha Gross Director - Energy Security and Climate Initiative, Fellow - Foreign Policy, Energy Security and Climate Initiative</v>
      </c>
      <c r="E237" s="1" t="str">
        <f>IFERROR(__xludf.DUMMYFUNCTION("""COMPUTED_VALUE"""),"NEGATIVE")</f>
        <v>NEGATIVE</v>
      </c>
      <c r="F237" s="1" t="str">
        <f>IFERROR(__xludf.DUMMYFUNCTION("""COMPUTED_VALUE"""),"Demand side CP")</f>
        <v>Demand side CP</v>
      </c>
      <c r="G237" s="1" t="str">
        <f>IFERROR(__xludf.DUMMYFUNCTION("""COMPUTED_VALUE"""),"Argues that only decreasing demand for fossil fuels can save the climate and provides grounds for a CP, also contributes to neg arguments like offshoring")</f>
        <v>Argues that only decreasing demand for fossil fuels can save the climate and provides grounds for a CP, also contributes to neg arguments like offshoring</v>
      </c>
      <c r="H237" s="1"/>
      <c r="I237" s="1" t="str">
        <f>IFERROR(__xludf.DUMMYFUNCTION("""COMPUTED_VALUE"""),"Mooney Hillsdale")</f>
        <v>Mooney Hillsdale</v>
      </c>
      <c r="J237" s="1" t="str">
        <f>IFERROR(__xludf.DUMMYFUNCTION("""COMPUTED_VALUE"""),"Wave 3 (Due Dec. 27)")</f>
        <v>Wave 3 (Due Dec. 27)</v>
      </c>
      <c r="K237" s="5" t="str">
        <f>IFERROR(__xludf.DUMMYFUNCTION("""COMPUTED_VALUE"""),"https://drive.google.com/open?id=1Q_60OaCRNIshmx_rkgKHPKIXO_4cWOjO")</f>
        <v>https://drive.google.com/open?id=1Q_60OaCRNIshmx_rkgKHPKIXO_4cWOjO</v>
      </c>
      <c r="L237" s="3" t="s">
        <v>1</v>
      </c>
    </row>
    <row r="238">
      <c r="A238" s="4">
        <f>IFERROR(__xludf.DUMMYFUNCTION("""COMPUTED_VALUE"""),45660.87509825232)</f>
        <v>45660.8751</v>
      </c>
      <c r="B238" s="1" t="str">
        <f>IFERROR(__xludf.DUMMYFUNCTION("""COMPUTED_VALUE"""),"riley.rosalie@gmail.com")</f>
        <v>riley.rosalie@gmail.com</v>
      </c>
      <c r="C238" s="1" t="str">
        <f>IFERROR(__xludf.DUMMYFUNCTION("""COMPUTED_VALUE"""),"Magazzino, C. and Giolli, L. (2024). Analyzing the relationship between oil prices and renewable energy sources in Italy during the first COVID-19 wave through quantile and wavelet analyses, Renewable Energy Focus, 48, 1-11. ")</f>
        <v>Magazzino, C. and Giolli, L. (2024). Analyzing the relationship between oil prices and renewable energy sources in Italy during the first COVID-19 wave through quantile and wavelet analyses, Renewable Energy Focus, 48, 1-11. </v>
      </c>
      <c r="D238" s="1" t="str">
        <f>IFERROR(__xludf.DUMMYFUNCTION("""COMPUTED_VALUE"""),"Magazzino is a Professor of European Economic Policy, Environmental and Energy Economics, and Economic Policy at Roma Tre University (Italy). Dr. Giolli is working as a Database Analyst-Administrative Assistant at ESTAR. He is also working as a contract p"&amp;"rofessor in Statistics at Pegaso University and at European School of Economics. He is also teaching assistant in Econometrics at Roma Tre University.")</f>
        <v>Magazzino is a Professor of European Economic Policy, Environmental and Energy Economics, and Economic Policy at Roma Tre University (Italy). Dr. Giolli is working as a Database Analyst-Administrative Assistant at ESTAR. He is also working as a contract professor in Statistics at Pegaso University and at European School of Economics. He is also teaching assistant in Econometrics at Roma Tre University.</v>
      </c>
      <c r="E238" s="1" t="str">
        <f>IFERROR(__xludf.DUMMYFUNCTION("""COMPUTED_VALUE"""),"AFFIRMATIVE")</f>
        <v>AFFIRMATIVE</v>
      </c>
      <c r="F238" s="1" t="str">
        <f>IFERROR(__xludf.DUMMYFUNCTION("""COMPUTED_VALUE"""),"Oil DA ")</f>
        <v>Oil DA </v>
      </c>
      <c r="G238" s="1" t="str">
        <f>IFERROR(__xludf.DUMMYFUNCTION("""COMPUTED_VALUE"""),"Answers the link to the Oil DA – renewable energy shift does not impact oil prices, renewable energy investment has been happening for decades and oil-dependent countries are adapting, even in countries that are making strides to decarbonization they stil"&amp;"l purchase oil")</f>
        <v>Answers the link to the Oil DA – renewable energy shift does not impact oil prices, renewable energy investment has been happening for decades and oil-dependent countries are adapting, even in countries that are making strides to decarbonization they still purchase oil</v>
      </c>
      <c r="H238" s="1" t="str">
        <f>IFERROR(__xludf.DUMMYFUNCTION("""COMPUTED_VALUE"""),"The paper aims to analyze the evolution of oil prices and renewable energy production in Italy during the first wave of the COVID-19 pandemic crisis with daily data for the period January 2020-September 2020 through several time series techniques (long me"&amp;"mory test and spectral causality analysis) and Wavelet Analysis tools. Italy has been the first country all over the world to be severely hit by the pandemic, reacting immediately with strong restrictive measures. The applied results show that oil prices "&amp;"and renewable energy sources were highly correlated during the pandemic shock. Moreover, causality tests reveal a unidirectional flow running from solar, hydro, and wind sources to oil prices, highlighting the relevance of the effect of the energy transit"&amp;"ion on the oil market. It is also imperative for a country that is a net energy resources importer to achieve a more sustainable way of production and accelerate the energy transition process, especially during phases of high fossil fuel prices.   ")</f>
        <v>The paper aims to analyze the evolution of oil prices and renewable energy production in Italy during the first wave of the COVID-19 pandemic crisis with daily data for the period January 2020-September 2020 through several time series techniques (long memory test and spectral causality analysis) and Wavelet Analysis tools. Italy has been the first country all over the world to be severely hit by the pandemic, reacting immediately with strong restrictive measures. The applied results show that oil prices and renewable energy sources were highly correlated during the pandemic shock. Moreover, causality tests reveal a unidirectional flow running from solar, hydro, and wind sources to oil prices, highlighting the relevance of the effect of the energy transition on the oil market. It is also imperative for a country that is a net energy resources importer to achieve a more sustainable way of production and accelerate the energy transition process, especially during phases of high fossil fuel prices.   </v>
      </c>
      <c r="I238" s="1" t="str">
        <f>IFERROR(__xludf.DUMMYFUNCTION("""COMPUTED_VALUE"""),"Talamantes WSU")</f>
        <v>Talamantes WSU</v>
      </c>
      <c r="J238" s="1" t="str">
        <f>IFERROR(__xludf.DUMMYFUNCTION("""COMPUTED_VALUE"""),"Wave 3 (Due Dec. 27)")</f>
        <v>Wave 3 (Due Dec. 27)</v>
      </c>
      <c r="K238" s="5" t="str">
        <f>IFERROR(__xludf.DUMMYFUNCTION("""COMPUTED_VALUE"""),"https://drive.google.com/open?id=1ekrMRPMZD583zv8WEzsLXpH35NCfrcxp")</f>
        <v>https://drive.google.com/open?id=1ekrMRPMZD583zv8WEzsLXpH35NCfrcxp</v>
      </c>
      <c r="L238" s="3" t="s">
        <v>2</v>
      </c>
    </row>
    <row r="239">
      <c r="A239" s="4">
        <f>IFERROR(__xludf.DUMMYFUNCTION("""COMPUTED_VALUE"""),45660.8761287963)</f>
        <v>45660.87613</v>
      </c>
      <c r="B239" s="1" t="str">
        <f>IFERROR(__xludf.DUMMYFUNCTION("""COMPUTED_VALUE"""),"riley.rosalie@gmail.com")</f>
        <v>riley.rosalie@gmail.com</v>
      </c>
      <c r="C239" s="1" t="str">
        <f>IFERROR(__xludf.DUMMYFUNCTION("""COMPUTED_VALUE"""),"Stares, P. and Ighani, H. (15 May 2017). “How Stable is Saudi Arabia?”, https://www.cfr.org/expert-brief/how-stable-saudi-arabia")</f>
        <v>Stares, P. and Ighani, H. (15 May 2017). “How Stable is Saudi Arabia?”, https://www.cfr.org/expert-brief/how-stable-saudi-arabia</v>
      </c>
      <c r="D239" s="1" t="str">
        <f>IFERROR(__xludf.DUMMYFUNCTION("""COMPUTED_VALUE"""),"Pail B. Stares is a General John W. Vessey Senior Fellow for Conflict Prevention and Director of the Center for Preventive Action. Helia Ighani is the Associate Director for the Center for Preventive Action. Her research focuses on Iran Defense and Securi"&amp;"ty.  ")</f>
        <v>Pail B. Stares is a General John W. Vessey Senior Fellow for Conflict Prevention and Director of the Center for Preventive Action. Helia Ighani is the Associate Director for the Center for Preventive Action. Her research focuses on Iran Defense and Security.  </v>
      </c>
      <c r="E239" s="1" t="str">
        <f>IFERROR(__xludf.DUMMYFUNCTION("""COMPUTED_VALUE"""),"AFFIRMATIVE")</f>
        <v>AFFIRMATIVE</v>
      </c>
      <c r="F239" s="1" t="str">
        <f>IFERROR(__xludf.DUMMYFUNCTION("""COMPUTED_VALUE"""),"Oil DA")</f>
        <v>Oil DA</v>
      </c>
      <c r="G239" s="1" t="str">
        <f>IFERROR(__xludf.DUMMYFUNCTION("""COMPUTED_VALUE"""),"Answer to the Oil DA / Saudi Arabia Scenario, argues the kingdom is ready for challenges that come with low oil prices and the regime is not unstable now. Unrest in other countries or shocks to their economy will not impact Saudi Arabia, they are resilien"&amp;"t")</f>
        <v>Answer to the Oil DA / Saudi Arabia Scenario, argues the kingdom is ready for challenges that come with low oil prices and the regime is not unstable now. Unrest in other countries or shocks to their economy will not impact Saudi Arabia, they are resilient</v>
      </c>
      <c r="H239" s="1"/>
      <c r="I239" s="1" t="str">
        <f>IFERROR(__xludf.DUMMYFUNCTION("""COMPUTED_VALUE"""),"Talamantes WSU")</f>
        <v>Talamantes WSU</v>
      </c>
      <c r="J239" s="1" t="str">
        <f>IFERROR(__xludf.DUMMYFUNCTION("""COMPUTED_VALUE"""),"Wave 3 (Due Dec. 27)")</f>
        <v>Wave 3 (Due Dec. 27)</v>
      </c>
      <c r="K239" s="5" t="str">
        <f>IFERROR(__xludf.DUMMYFUNCTION("""COMPUTED_VALUE"""),"https://drive.google.com/open?id=12Lc0BVFHvLMvyx8t5CIkwC5gUz6raCo9")</f>
        <v>https://drive.google.com/open?id=12Lc0BVFHvLMvyx8t5CIkwC5gUz6raCo9</v>
      </c>
      <c r="L239" s="3" t="s">
        <v>2</v>
      </c>
    </row>
    <row r="240">
      <c r="A240" s="4">
        <f>IFERROR(__xludf.DUMMYFUNCTION("""COMPUTED_VALUE"""),45660.87744111111)</f>
        <v>45660.87744</v>
      </c>
      <c r="B240" s="1" t="str">
        <f>IFERROR(__xludf.DUMMYFUNCTION("""COMPUTED_VALUE"""),"addypixie167@gmail.com")</f>
        <v>addypixie167@gmail.com</v>
      </c>
      <c r="C240" s="1" t="str">
        <f>IFERROR(__xludf.DUMMYFUNCTION("""COMPUTED_VALUE"""),"Howard Beales, et al. “The Proper Role of Rules in a Gloriously Unruly Economy”, released by the Regulatory Transparency Project of the Federalist Society, August 28, 2019 (https://rtp.fedsoc.org/paper/the-proper-role-of-rules-in-a-gloriously-unruly-econo"&amp;"my/).")</f>
        <v>Howard Beales, et al. “The Proper Role of Rules in a Gloriously Unruly Economy”, released by the Regulatory Transparency Project of the Federalist Society, August 28, 2019 (https://rtp.fedsoc.org/paper/the-proper-role-of-rules-in-a-gloriously-unruly-economy/).</v>
      </c>
      <c r="D240" s="1" t="str">
        <f>IFERROR(__xludf.DUMMYFUNCTION("""COMPUTED_VALUE"""),"Howard Beales Professor Emeritus of Strategic Management and Public Policy School of Business, The George Washington University Original Abstract  Jerry Brito Executive Director Coin Center  Gregory Conko Senior Fellow Competitive Enterprise Institute  J."&amp;" Kennerly Davis, Jr. Former Senior Attorney Hunton Andrews Kurth LLP  Dr. Donald Devine Grewcock Senior Scholar at The Fund for American Studies Former civil service director during to Ronald Reagan  Hon. Susan Dudley Founder, GW Regulatory Studies Center"&amp;" &amp; Distinguished Professor of Practice Trachtenberg School of Public Policy &amp; Public Administration, George Washington University  Todd F. Gaziano President Center for Individual Rights  Karen Harned President Harned Strategies LLC  Brian Mannix Research "&amp;"Professor Regulatory Studies Center, George Washington University  John O. McGinnis George C. Dix Professor in Constitutional Law at the Northwestern University Pritzker School of Law  Paul Noe Vice President for Public Policy American Forest and Paper As"&amp;"sociation")</f>
        <v>Howard Beales Professor Emeritus of Strategic Management and Public Policy School of Business, The George Washington University Original Abstract  Jerry Brito Executive Director Coin Center  Gregory Conko Senior Fellow Competitive Enterprise Institute  J. Kennerly Davis, Jr. Former Senior Attorney Hunton Andrews Kurth LLP  Dr. Donald Devine Grewcock Senior Scholar at The Fund for American Studies Former civil service director during to Ronald Reagan  Hon. Susan Dudley Founder, GW Regulatory Studies Center &amp; Distinguished Professor of Practice Trachtenberg School of Public Policy &amp; Public Administration, George Washington University  Todd F. Gaziano President Center for Individual Rights  Karen Harned President Harned Strategies LLC  Brian Mannix Research Professor Regulatory Studies Center, George Washington University  John O. McGinnis George C. Dix Professor in Constitutional Law at the Northwestern University Pritzker School of Law  Paul Noe Vice President for Public Policy American Forest and Paper Association</v>
      </c>
      <c r="E240" s="1" t="str">
        <f>IFERROR(__xludf.DUMMYFUNCTION("""COMPUTED_VALUE"""),"MIXED")</f>
        <v>MIXED</v>
      </c>
      <c r="F240" s="1" t="str">
        <f>IFERROR(__xludf.DUMMYFUNCTION("""COMPUTED_VALUE"""),"An approach to regulations")</f>
        <v>An approach to regulations</v>
      </c>
      <c r="G240" s="1" t="str">
        <f>IFERROR(__xludf.DUMMYFUNCTION("""COMPUTED_VALUE"""),"This paper recommends a shift away from centralized regulation systems to allow for economic innovation to allow for solutions. ")</f>
        <v>This paper recommends a shift away from centralized regulation systems to allow for economic innovation to allow for solutions. </v>
      </c>
      <c r="H240" s="1" t="str">
        <f>IFERROR(__xludf.DUMMYFUNCTION("""COMPUTED_VALUE"""),"Hard work, ingenuity, and entrepreneurship built America. Respect for democratic processes, the rule of law, property rights, and honest competition rewarded those noble traits, promoting prosperity, economic growth, and opportunities for all people. Yet,"&amp;" the past few decades have seen a decline in economic growth and opportunity, and research suggests that misguided government policies that have strayed from American ideals have contributed to this stagnation.1 In particular, poorly designed regulations "&amp;"have tended to advantage the well-connected, stifle innovation, and undermine the American spirit. Recent efforts at regulatory reform, along with tax reform, are widely credited with the recent increase in economic growth, business confidence, and employ"&amp;"ment.2 This paper explores the relationship between regulation and well-being with illustrations of regulations done poorly, and also some examples of regulatory reform success stories. It finds that an approach to regulation that encourages, rather than "&amp;"dampens, creativity and competition, that targets real problems, and is based on sound evidence will lead to a stronger, more resilient, and more inclusive economy.")</f>
        <v>Hard work, ingenuity, and entrepreneurship built America. Respect for democratic processes, the rule of law, property rights, and honest competition rewarded those noble traits, promoting prosperity, economic growth, and opportunities for all people. Yet, the past few decades have seen a decline in economic growth and opportunity, and research suggests that misguided government policies that have strayed from American ideals have contributed to this stagnation.1 In particular, poorly designed regulations have tended to advantage the well-connected, stifle innovation, and undermine the American spirit. Recent efforts at regulatory reform, along with tax reform, are widely credited with the recent increase in economic growth, business confidence, and employment.2 This paper explores the relationship between regulation and well-being with illustrations of regulations done poorly, and also some examples of regulatory reform success stories. It finds that an approach to regulation that encourages, rather than dampens, creativity and competition, that targets real problems, and is based on sound evidence will lead to a stronger, more resilient, and more inclusive economy.</v>
      </c>
      <c r="I240" s="1" t="str">
        <f>IFERROR(__xludf.DUMMYFUNCTION("""COMPUTED_VALUE"""),"Soderquist GU")</f>
        <v>Soderquist GU</v>
      </c>
      <c r="J240" s="1" t="str">
        <f>IFERROR(__xludf.DUMMYFUNCTION("""COMPUTED_VALUE"""),"Wave 3 (Due Dec. 27)")</f>
        <v>Wave 3 (Due Dec. 27)</v>
      </c>
      <c r="K240" s="5" t="str">
        <f>IFERROR(__xludf.DUMMYFUNCTION("""COMPUTED_VALUE"""),"https://drive.google.com/open?id=1OtR_U3Lluq4UVG9FEXy35BspSJ_Q6dvV")</f>
        <v>https://drive.google.com/open?id=1OtR_U3Lluq4UVG9FEXy35BspSJ_Q6dvV</v>
      </c>
      <c r="L240" s="3" t="s">
        <v>2</v>
      </c>
    </row>
    <row r="241">
      <c r="A241" s="4">
        <f>IFERROR(__xludf.DUMMYFUNCTION("""COMPUTED_VALUE"""),45660.879440034725)</f>
        <v>45660.87944</v>
      </c>
      <c r="B241" s="1" t="str">
        <f>IFERROR(__xludf.DUMMYFUNCTION("""COMPUTED_VALUE"""),"riley.rosalie@gmail.com")</f>
        <v>riley.rosalie@gmail.com</v>
      </c>
      <c r="C241" s="1" t="str">
        <f>IFERROR(__xludf.DUMMYFUNCTION("""COMPUTED_VALUE"""),"Mccartney, G. “Oil prices post 3% annual decline, slipping for second year in a row”, Reuters, 12-31-2024, https://www.reuters.com/business/energy/oil-rises-expanding-chinese-factory-activity-set-end-year-lower-2024-12-31/ ")</f>
        <v>Mccartney, G. “Oil prices post 3% annual decline, slipping for second year in a row”, Reuters, 12-31-2024, https://www.reuters.com/business/energy/oil-rises-expanding-chinese-factory-activity-set-end-year-lower-2024-12-31/ </v>
      </c>
      <c r="D241" s="1" t="str">
        <f>IFERROR(__xludf.DUMMYFUNCTION("""COMPUTED_VALUE"""),"Mccartney is a reporter at Reuters specializing in oil production")</f>
        <v>Mccartney is a reporter at Reuters specializing in oil production</v>
      </c>
      <c r="E241" s="1" t="str">
        <f>IFERROR(__xludf.DUMMYFUNCTION("""COMPUTED_VALUE"""),"AFFIRMATIVE")</f>
        <v>AFFIRMATIVE</v>
      </c>
      <c r="F241" s="1" t="str">
        <f>IFERROR(__xludf.DUMMYFUNCTION("""COMPUTED_VALUE"""),"Oil DA")</f>
        <v>Oil DA</v>
      </c>
      <c r="G241" s="1" t="str">
        <f>IFERROR(__xludf.DUMMYFUNCTION("""COMPUTED_VALUE"""),"Answer to the oil DA - reports the current price of oil and the predictions for pricing in the coming year. Non-uq argument for the DA")</f>
        <v>Answer to the oil DA - reports the current price of oil and the predictions for pricing in the coming year. Non-uq argument for the DA</v>
      </c>
      <c r="H241" s="1"/>
      <c r="I241" s="1" t="str">
        <f>IFERROR(__xludf.DUMMYFUNCTION("""COMPUTED_VALUE"""),"Talamantes WSU")</f>
        <v>Talamantes WSU</v>
      </c>
      <c r="J241" s="1" t="str">
        <f>IFERROR(__xludf.DUMMYFUNCTION("""COMPUTED_VALUE"""),"Wave 3 (Due Dec. 27)")</f>
        <v>Wave 3 (Due Dec. 27)</v>
      </c>
      <c r="K241" s="5" t="str">
        <f>IFERROR(__xludf.DUMMYFUNCTION("""COMPUTED_VALUE"""),"https://drive.google.com/open?id=1Kf1CDnJq0N2L8y_nWtbIZMQpEPrnmDHI")</f>
        <v>https://drive.google.com/open?id=1Kf1CDnJq0N2L8y_nWtbIZMQpEPrnmDHI</v>
      </c>
      <c r="L241" s="3" t="s">
        <v>2</v>
      </c>
    </row>
    <row r="242">
      <c r="A242" s="4">
        <f>IFERROR(__xludf.DUMMYFUNCTION("""COMPUTED_VALUE"""),45660.88144361111)</f>
        <v>45660.88144</v>
      </c>
      <c r="B242" s="1" t="str">
        <f>IFERROR(__xludf.DUMMYFUNCTION("""COMPUTED_VALUE"""),"alexmooney256@gmail.com")</f>
        <v>alexmooney256@gmail.com</v>
      </c>
      <c r="C242" s="1" t="str">
        <f>IFERROR(__xludf.DUMMYFUNCTION("""COMPUTED_VALUE"""),"Reinsch, W. A., Reynolds, G. (2022). Geopolitics of Oil and Inflation. Center for Strategic and International Studies")</f>
        <v>Reinsch, W. A., Reynolds, G. (2022). Geopolitics of Oil and Inflation. Center for Strategic and International Studies</v>
      </c>
      <c r="D242" s="1" t="str">
        <f>IFERROR(__xludf.DUMMYFUNCTION("""COMPUTED_VALUE"""),"William Alan Reinsch: Senior Adviser, Economics Program and Scholl Chair in International Business. Grant Reynolds: Intern, Scholl Chair in International Business")</f>
        <v>William Alan Reinsch: Senior Adviser, Economics Program and Scholl Chair in International Business. Grant Reynolds: Intern, Scholl Chair in International Business</v>
      </c>
      <c r="E242" s="1" t="str">
        <f>IFERROR(__xludf.DUMMYFUNCTION("""COMPUTED_VALUE"""),"NEGATIVE")</f>
        <v>NEGATIVE</v>
      </c>
      <c r="F242" s="1" t="str">
        <f>IFERROR(__xludf.DUMMYFUNCTION("""COMPUTED_VALUE"""),"Remove Fossil Fuel Subsidies")</f>
        <v>Remove Fossil Fuel Subsidies</v>
      </c>
      <c r="G242" s="1" t="str">
        <f>IFERROR(__xludf.DUMMYFUNCTION("""COMPUTED_VALUE"""),"Discusses the implications of US energy export and lays the foundation for an international relations DA")</f>
        <v>Discusses the implications of US energy export and lays the foundation for an international relations DA</v>
      </c>
      <c r="H242" s="1"/>
      <c r="I242" s="1" t="str">
        <f>IFERROR(__xludf.DUMMYFUNCTION("""COMPUTED_VALUE"""),"Mooney Hillsdale")</f>
        <v>Mooney Hillsdale</v>
      </c>
      <c r="J242" s="1" t="str">
        <f>IFERROR(__xludf.DUMMYFUNCTION("""COMPUTED_VALUE"""),"Wave 3 (Due Dec. 27)")</f>
        <v>Wave 3 (Due Dec. 27)</v>
      </c>
      <c r="K242" s="5" t="str">
        <f>IFERROR(__xludf.DUMMYFUNCTION("""COMPUTED_VALUE"""),"https://drive.google.com/open?id=1nCj8ks99XA_deMtUW08hBdB1uAjI5Nic")</f>
        <v>https://drive.google.com/open?id=1nCj8ks99XA_deMtUW08hBdB1uAjI5Nic</v>
      </c>
      <c r="L242" s="3" t="s">
        <v>2</v>
      </c>
    </row>
    <row r="243">
      <c r="A243" s="4">
        <f>IFERROR(__xludf.DUMMYFUNCTION("""COMPUTED_VALUE"""),45660.88255480324)</f>
        <v>45660.88255</v>
      </c>
      <c r="B243" s="1" t="str">
        <f>IFERROR(__xludf.DUMMYFUNCTION("""COMPUTED_VALUE"""),"addypixie167@gmail.com")</f>
        <v>addypixie167@gmail.com</v>
      </c>
      <c r="C243" s="1" t="str">
        <f>IFERROR(__xludf.DUMMYFUNCTION("""COMPUTED_VALUE"""),"World Trade Organization. (2022b). Trade and Climate Change. https://www.wto.org/english/news_e/news21_e/clim_03nov21-1_e.pdf ")</f>
        <v>World Trade Organization. (2022b). Trade and Climate Change. https://www.wto.org/english/news_e/news21_e/clim_03nov21-1_e.pdf </v>
      </c>
      <c r="D243" s="1" t="str">
        <f>IFERROR(__xludf.DUMMYFUNCTION("""COMPUTED_VALUE"""),"World Trade Organization")</f>
        <v>World Trade Organization</v>
      </c>
      <c r="E243" s="1" t="str">
        <f>IFERROR(__xludf.DUMMYFUNCTION("""COMPUTED_VALUE"""),"MIXED")</f>
        <v>MIXED</v>
      </c>
      <c r="F243" s="1" t="str">
        <f>IFERROR(__xludf.DUMMYFUNCTION("""COMPUTED_VALUE"""),"Carbon Emission Measurement")</f>
        <v>Carbon Emission Measurement</v>
      </c>
      <c r="G243" s="1" t="str">
        <f>IFERROR(__xludf.DUMMYFUNCTION("""COMPUTED_VALUE"""),"This article highlights the difficulties of a non-uniform carbon emission measuring system and the robust regulations/measurements that need to exist for polices to exist. Has links to global. ")</f>
        <v>This article highlights the difficulties of a non-uniform carbon emission measuring system and the robust regulations/measurements that need to exist for polices to exist. Has links to global. </v>
      </c>
      <c r="H243" s="1" t="str">
        <f>IFERROR(__xludf.DUMMYFUNCTION("""COMPUTED_VALUE"""),"KEY POINTS 
• Using different yardsticks for measuring carbon emissions makes comparisons difficult. Aligning methodologies for measurement may contribute to achieving climate goals by enabling fair comparisons and upholding the environmental integrity of"&amp;" emissions reductions. These efforts are supported by WTO rules and recommendations on standards and regulations. 
• Robust verification increases trust; and trust is key for trade. It is essential that information provided by producers (about carbon cont"&amp;"ent of products and processes) be underpinned by a system of verification and communication that provides confidence to the market. Confidence is also fostered by engaging with trading partners. WTO committee work, which is inherently multilateral and coo"&amp;"perative, can serve as a forum for early dialogue on emerging regulations to address climate change. This cooperation helps to facilitate the transition towards a lowcarbon economy and to avoid unproductive trade frictions.
 • Institutions and infrastruct"&amp;"ure underpin the verification process. Given how technical the field of carbon emissions quantification can be, it is paramount to provide support to developing countries so that they can accurately measure and verify the carbon content of their products,"&amp;" and reap the opportunities presented by a low-carbon economy. Strengthening national quality infrastructure in developing countries can help producers to integrate into green global value chains as part of a just transition to a low-carbon economy.
")</f>
        <v>KEY POINTS 
• Using different yardsticks for measuring carbon emissions makes comparisons difficult. Aligning methodologies for measurement may contribute to achieving climate goals by enabling fair comparisons and upholding the environmental integrity of emissions reductions. These efforts are supported by WTO rules and recommendations on standards and regulations. 
• Robust verification increases trust; and trust is key for trade. It is essential that information provided by producers (about carbon content of products and processes) be underpinned by a system of verification and communication that provides confidence to the market. Confidence is also fostered by engaging with trading partners. WTO committee work, which is inherently multilateral and cooperative, can serve as a forum for early dialogue on emerging regulations to address climate change. This cooperation helps to facilitate the transition towards a lowcarbon economy and to avoid unproductive trade frictions.
 • Institutions and infrastructure underpin the verification process. Given how technical the field of carbon emissions quantification can be, it is paramount to provide support to developing countries so that they can accurately measure and verify the carbon content of their products, and reap the opportunities presented by a low-carbon economy. Strengthening national quality infrastructure in developing countries can help producers to integrate into green global value chains as part of a just transition to a low-carbon economy.
</v>
      </c>
      <c r="I243" s="1" t="str">
        <f>IFERROR(__xludf.DUMMYFUNCTION("""COMPUTED_VALUE"""),"Soderquist GU")</f>
        <v>Soderquist GU</v>
      </c>
      <c r="J243" s="1" t="str">
        <f>IFERROR(__xludf.DUMMYFUNCTION("""COMPUTED_VALUE"""),"Wave 3 (Due Dec. 27)")</f>
        <v>Wave 3 (Due Dec. 27)</v>
      </c>
      <c r="K243" s="5" t="str">
        <f>IFERROR(__xludf.DUMMYFUNCTION("""COMPUTED_VALUE"""),"https://drive.google.com/open?id=1Y9J4L4GXDQ-Ao_5mV0JVmKJyYVgTEGOw")</f>
        <v>https://drive.google.com/open?id=1Y9J4L4GXDQ-Ao_5mV0JVmKJyYVgTEGOw</v>
      </c>
      <c r="L243" s="3" t="s">
        <v>2</v>
      </c>
    </row>
    <row r="244">
      <c r="A244" s="4">
        <f>IFERROR(__xludf.DUMMYFUNCTION("""COMPUTED_VALUE"""),45660.88583452546)</f>
        <v>45660.88583</v>
      </c>
      <c r="B244" s="1" t="str">
        <f>IFERROR(__xludf.DUMMYFUNCTION("""COMPUTED_VALUE"""),"alexmooney256@gmail.com")</f>
        <v>alexmooney256@gmail.com</v>
      </c>
      <c r="C244" s="1" t="str">
        <f>IFERROR(__xludf.DUMMYFUNCTION("""COMPUTED_VALUE"""),"Rogin, J. (2022). Restricting U.S. oil exports would betray European allies and benefit Russia. The Washington Post")</f>
        <v>Rogin, J. (2022). Restricting U.S. oil exports would betray European allies and benefit Russia. The Washington Post</v>
      </c>
      <c r="D244" s="1" t="str">
        <f>IFERROR(__xludf.DUMMYFUNCTION("""COMPUTED_VALUE"""),"Rogin is a columnist for the Global Opinions section of The Washington Post. He writes about foreign policy and national security. Rogin is also a political analyst for CNN.")</f>
        <v>Rogin is a columnist for the Global Opinions section of The Washington Post. He writes about foreign policy and national security. Rogin is also a political analyst for CNN.</v>
      </c>
      <c r="E244" s="1" t="str">
        <f>IFERROR(__xludf.DUMMYFUNCTION("""COMPUTED_VALUE"""),"NEGATIVE")</f>
        <v>NEGATIVE</v>
      </c>
      <c r="F244" s="1" t="str">
        <f>IFERROR(__xludf.DUMMYFUNCTION("""COMPUTED_VALUE"""),"Remove Fossil Fuel Subsidies")</f>
        <v>Remove Fossil Fuel Subsidies</v>
      </c>
      <c r="G244" s="1" t="str">
        <f>IFERROR(__xludf.DUMMYFUNCTION("""COMPUTED_VALUE"""),"Evaluates the disadvantages of decreasing the oil the U.S. supplies to Europe in light of Russia's war against Ukraine, important for the IR disad")</f>
        <v>Evaluates the disadvantages of decreasing the oil the U.S. supplies to Europe in light of Russia's war against Ukraine, important for the IR disad</v>
      </c>
      <c r="H244" s="1"/>
      <c r="I244" s="1" t="str">
        <f>IFERROR(__xludf.DUMMYFUNCTION("""COMPUTED_VALUE"""),"Mooney Hillsdale")</f>
        <v>Mooney Hillsdale</v>
      </c>
      <c r="J244" s="1" t="str">
        <f>IFERROR(__xludf.DUMMYFUNCTION("""COMPUTED_VALUE"""),"Wave 3 (Due Dec. 27)")</f>
        <v>Wave 3 (Due Dec. 27)</v>
      </c>
      <c r="K244" s="5" t="str">
        <f>IFERROR(__xludf.DUMMYFUNCTION("""COMPUTED_VALUE"""),"https://drive.google.com/open?id=1kUL5JG-XCYfHbYSGHDX8tMfw2yxJ2zDF")</f>
        <v>https://drive.google.com/open?id=1kUL5JG-XCYfHbYSGHDX8tMfw2yxJ2zDF</v>
      </c>
      <c r="L244" s="3" t="s">
        <v>2</v>
      </c>
    </row>
    <row r="245">
      <c r="A245" s="4">
        <f>IFERROR(__xludf.DUMMYFUNCTION("""COMPUTED_VALUE"""),45660.89110671297)</f>
        <v>45660.89111</v>
      </c>
      <c r="B245" s="1" t="str">
        <f>IFERROR(__xludf.DUMMYFUNCTION("""COMPUTED_VALUE"""),"alexmooney256@gmail.com")</f>
        <v>alexmooney256@gmail.com</v>
      </c>
      <c r="C245" s="1" t="str">
        <f>IFERROR(__xludf.DUMMYFUNCTION("""COMPUTED_VALUE"""),"Willis, S. M., Rizzuto, A. P., Ben-Itzhak, S. (2023). US and European Energy Security amid Great-Power Competition. Journal of Indo-Pacific Affairs")</f>
        <v>Willis, S. M., Rizzuto, A. P., Ben-Itzhak, S. (2023). US and European Energy Security amid Great-Power Competition. Journal of Indo-Pacific Affairs</v>
      </c>
      <c r="D245" s="1" t="str">
        <f>IFERROR(__xludf.DUMMYFUNCTION("""COMPUTED_VALUE"""),"Col Shawn Willis, USAF: Colonel Willis is a physicist in the United States Air Force and currently serves as the associate dean of the Air Force Institute of Technology graduate school, Wright-Patterson Air Force Base, Ohio. Lt Col Anthony P. Rizzuto, USS"&amp;"F: Lieutenant Colonel Rizzuto is an acquisition officer in the United States Space Force and currently assigned to the Joint Staff at the Pentagon, Washington, DC. Dr. Svetla Ben-Itzhak:  Dr. Ben-Itzhak is assistant professor, space and international rela"&amp;"tions, at Air War College, Air University, Maxwell Air Force Base, Montgomery Alabama.")</f>
        <v>Col Shawn Willis, USAF: Colonel Willis is a physicist in the United States Air Force and currently serves as the associate dean of the Air Force Institute of Technology graduate school, Wright-Patterson Air Force Base, Ohio. Lt Col Anthony P. Rizzuto, USSF: Lieutenant Colonel Rizzuto is an acquisition officer in the United States Space Force and currently assigned to the Joint Staff at the Pentagon, Washington, DC. Dr. Svetla Ben-Itzhak:  Dr. Ben-Itzhak is assistant professor, space and international relations, at Air War College, Air University, Maxwell Air Force Base, Montgomery Alabama.</v>
      </c>
      <c r="E245" s="1" t="str">
        <f>IFERROR(__xludf.DUMMYFUNCTION("""COMPUTED_VALUE"""),"AFFIRMATIVE")</f>
        <v>AFFIRMATIVE</v>
      </c>
      <c r="F245" s="1" t="str">
        <f>IFERROR(__xludf.DUMMYFUNCTION("""COMPUTED_VALUE"""),"Remove Fossil Fuel Subsidies")</f>
        <v>Remove Fossil Fuel Subsidies</v>
      </c>
      <c r="G245" s="1" t="str">
        <f>IFERROR(__xludf.DUMMYFUNCTION("""COMPUTED_VALUE"""),"Provides affirmative answers to the IR DA, especially to the Ukraine scenario, and argues that renewables are actually key to great power competition and energy security")</f>
        <v>Provides affirmative answers to the IR DA, especially to the Ukraine scenario, and argues that renewables are actually key to great power competition and energy security</v>
      </c>
      <c r="H245" s="1" t="str">
        <f>IFERROR(__xludf.DUMMYFUNCTION("""COMPUTED_VALUE"""),"In response to Russia’s 2022 invasion of Ukraine, Europe and the United States levied a series of economic sanctions, which prompted Moscow to retaliate by cutting Russia’s natural gas supplies to Europe by 80 percent. This crisis not only affected Europe"&amp;"’s energy security but also presented a threat to the US due to its close ties with its European allies. As a result, both Europe and the United States are expanding renewable energy sources to fully decouple from Russian energy supplies and reduce greenh"&amp;"ouse gas emissions. However, as they increase renewable energy production, they are at risk of becoming dependent on Chinese renewable energy equipment and materials supply chains. This article argues that to prevent energy from being weaponized by Russia"&amp;" or China, the United States and Europe must develop an independent renewable energy market. To achieve this goal, the article proposes specific strategies and measures that the United States and Europe could adopt to create an independent renewable energ"&amp;"y market and avoid relying on external sources for their energy needs.")</f>
        <v>In response to Russia’s 2022 invasion of Ukraine, Europe and the United States levied a series of economic sanctions, which prompted Moscow to retaliate by cutting Russia’s natural gas supplies to Europe by 80 percent. This crisis not only affected Europe’s energy security but also presented a threat to the US due to its close ties with its European allies. As a result, both Europe and the United States are expanding renewable energy sources to fully decouple from Russian energy supplies and reduce greenhouse gas emissions. However, as they increase renewable energy production, they are at risk of becoming dependent on Chinese renewable energy equipment and materials supply chains. This article argues that to prevent energy from being weaponized by Russia or China, the United States and Europe must develop an independent renewable energy market. To achieve this goal, the article proposes specific strategies and measures that the United States and Europe could adopt to create an independent renewable energy market and avoid relying on external sources for their energy needs.</v>
      </c>
      <c r="I245" s="1" t="str">
        <f>IFERROR(__xludf.DUMMYFUNCTION("""COMPUTED_VALUE"""),"Mooney Hillsdale")</f>
        <v>Mooney Hillsdale</v>
      </c>
      <c r="J245" s="1" t="str">
        <f>IFERROR(__xludf.DUMMYFUNCTION("""COMPUTED_VALUE"""),"Wave 3 (Due Dec. 27)")</f>
        <v>Wave 3 (Due Dec. 27)</v>
      </c>
      <c r="K245" s="5" t="str">
        <f>IFERROR(__xludf.DUMMYFUNCTION("""COMPUTED_VALUE"""),"https://drive.google.com/open?id=1S8yUHffBe0h3cRiluALTQm97ZwQyVcmS")</f>
        <v>https://drive.google.com/open?id=1S8yUHffBe0h3cRiluALTQm97ZwQyVcmS</v>
      </c>
      <c r="L245" s="3" t="s">
        <v>2</v>
      </c>
    </row>
    <row r="246">
      <c r="A246" s="4">
        <f>IFERROR(__xludf.DUMMYFUNCTION("""COMPUTED_VALUE"""),45660.93174025463)</f>
        <v>45660.93174</v>
      </c>
      <c r="B246" s="1" t="str">
        <f>IFERROR(__xludf.DUMMYFUNCTION("""COMPUTED_VALUE"""),"quinngulka04@gmail.com")</f>
        <v>quinngulka04@gmail.com</v>
      </c>
      <c r="C246" s="1" t="str">
        <f>IFERROR(__xludf.DUMMYFUNCTION("""COMPUTED_VALUE"""),"Digitemie, W. N., &amp; Ekemezie, I. O. (2024). Assessing the role of carbon pricing in global climate change mitigation strategies. Magna Scientia Advanced Research and Reviews, 10(02), 022-031. https://doi.org/10.30574/msarr.2024.10.2.0040")</f>
        <v>Digitemie, W. N., &amp; Ekemezie, I. O. (2024). Assessing the role of carbon pricing in global climate change mitigation strategies. Magna Scientia Advanced Research and Reviews, 10(02), 022-031. https://doi.org/10.30574/msarr.2024.10.2.0040</v>
      </c>
      <c r="D246" s="1" t="str">
        <f>IFERROR(__xludf.DUMMYFUNCTION("""COMPUTED_VALUE"""),"Ifeanyi Onyedika Ekemezie, Shell Energy, Nigeria Plc, Nigeria, Nigeria Wags Numoipiri Digitemie, Shell Energy, Nigeria Plc, Nigeria, Nigeria")</f>
        <v>Ifeanyi Onyedika Ekemezie, Shell Energy, Nigeria Plc, Nigeria, Nigeria Wags Numoipiri Digitemie, Shell Energy, Nigeria Plc, Nigeria, Nigeria</v>
      </c>
      <c r="E246" s="1" t="str">
        <f>IFERROR(__xludf.DUMMYFUNCTION("""COMPUTED_VALUE"""),"AFFIRMATIVE")</f>
        <v>AFFIRMATIVE</v>
      </c>
      <c r="F246" s="1" t="str">
        <f>IFERROR(__xludf.DUMMYFUNCTION("""COMPUTED_VALUE"""),"Carbon Tax")</f>
        <v>Carbon Tax</v>
      </c>
      <c r="G246" s="1" t="str">
        <f>IFERROR(__xludf.DUMMYFUNCTION("""COMPUTED_VALUE"""),"The article strongly supports carbon pricing mechanisms (both carbon taxes and ETS) as effective tools for reducing emissions and addressing climate change. Key affirmative evidence includes: effectiveness at reducing carbon emissions, economic benefits ("&amp;"such as driving investment in clean technologies and energy efficiency) and international success stories (multiple successful implementations across different countries). Affirmative evidence advocating for carbon tax or EMS. ")</f>
        <v>The article strongly supports carbon pricing mechanisms (both carbon taxes and ETS) as effective tools for reducing emissions and addressing climate change. Key affirmative evidence includes: effectiveness at reducing carbon emissions, economic benefits (such as driving investment in clean technologies and energy efficiency) and international success stories (multiple successful implementations across different countries). Affirmative evidence advocating for carbon tax or EMS. </v>
      </c>
      <c r="H246" s="1" t="str">
        <f>IFERROR(__xludf.DUMMYFUNCTION("""COMPUTED_VALUE"""),"Carbon pricing has emerged as a crucial policy tool in global efforts to mitigate climate change by internalizing the costs of carbon emissions and incentivizing emission reductions. This review provides an assessment of the role of carbon pricing in glob"&amp;"al climate change mitigation strategies. Carbon pricing mechanisms, including carbon taxes and emissions trading systems (ETS), have gained traction worldwide as governments seek effective ways to reduce greenhouse gas emissions. These mechanisms establis"&amp;"h a price on carbon emissions, creating economic incentives for businesses and individuals to reduce their carbon footprint. The effectiveness of carbon pricing in mitigating climate change depends on various factors, including the stringency of pricing m"&amp;"echanisms, coverage of sectors and gases, and complementary policies and measures. Studies have shown that well-designed carbon pricing policies can lead to significant emission reductions while promoting innovation and investment in clean technologies. H"&amp;"owever, carbon pricing also faces challenges and limitations, including concerns about equity, competitiveness, and political acceptability. Distributional impacts on vulnerable populations and energy-intensive industries must be carefully addressed to en"&amp;"sure the fairness and effectiveness of carbon pricing policies. Furthermore, the success of carbon pricing depends on international cooperation and coordination, as emissions can easily shift across borders in response to pricing disparities. Global effor"&amp;"ts to harmonize carbon pricing mechanisms and establish international carbon markets can enhance the effectiveness and efficiency of mitigation efforts. In conclusion, carbon pricing plays a crucial role in global climate change mitigation strategies by a"&amp;"ligning economic incentives with environmental objectives. While it offers significant potential for reducing emissions and fostering the transition to a low-carbon economy, addressing challenges such as equity concerns and promoting international coopera"&amp;"tion is essential for maximizing its effectiveness. By integrating carbon pricing into comprehensive climate policy frameworks, policymakers can accelerate progress towards a sustainable and resilient future. ")</f>
        <v>Carbon pricing has emerged as a crucial policy tool in global efforts to mitigate climate change by internalizing the costs of carbon emissions and incentivizing emission reductions. This review provides an assessment of the role of carbon pricing in global climate change mitigation strategies. Carbon pricing mechanisms, including carbon taxes and emissions trading systems (ETS), have gained traction worldwide as governments seek effective ways to reduce greenhouse gas emissions. These mechanisms establish a price on carbon emissions, creating economic incentives for businesses and individuals to reduce their carbon footprint. The effectiveness of carbon pricing in mitigating climate change depends on various factors, including the stringency of pricing mechanisms, coverage of sectors and gases, and complementary policies and measures. Studies have shown that well-designed carbon pricing policies can lead to significant emission reductions while promoting innovation and investment in clean technologies. However, carbon pricing also faces challenges and limitations, including concerns about equity, competitiveness, and political acceptability. Distributional impacts on vulnerable populations and energy-intensive industries must be carefully addressed to ensure the fairness and effectiveness of carbon pricing policies. Furthermore, the success of carbon pricing depends on international cooperation and coordination, as emissions can easily shift across borders in response to pricing disparities. Global efforts to harmonize carbon pricing mechanisms and establish international carbon markets can enhance the effectiveness and efficiency of mitigation efforts. In conclusion, carbon pricing plays a crucial role in global climate change mitigation strategies by aligning economic incentives with environmental objectives. While it offers significant potential for reducing emissions and fostering the transition to a low-carbon economy, addressing challenges such as equity concerns and promoting international cooperation is essential for maximizing its effectiveness. By integrating carbon pricing into comprehensive climate policy frameworks, policymakers can accelerate progress towards a sustainable and resilient future. </v>
      </c>
      <c r="I246" s="1" t="str">
        <f>IFERROR(__xludf.DUMMYFUNCTION("""COMPUTED_VALUE"""),"Gulka UO ")</f>
        <v>Gulka UO </v>
      </c>
      <c r="J246" s="1" t="str">
        <f>IFERROR(__xludf.DUMMYFUNCTION("""COMPUTED_VALUE"""),"Wave 3 (Due Dec. 27)")</f>
        <v>Wave 3 (Due Dec. 27)</v>
      </c>
      <c r="K246" s="5" t="str">
        <f>IFERROR(__xludf.DUMMYFUNCTION("""COMPUTED_VALUE"""),"https://drive.google.com/open?id=1yikk_rFGOC7boyPcsiMgUOINNlXPuHcg")</f>
        <v>https://drive.google.com/open?id=1yikk_rFGOC7boyPcsiMgUOINNlXPuHcg</v>
      </c>
      <c r="L246" s="3" t="s">
        <v>2</v>
      </c>
    </row>
    <row r="247">
      <c r="A247" s="4">
        <f>IFERROR(__xludf.DUMMYFUNCTION("""COMPUTED_VALUE"""),45660.9716509375)</f>
        <v>45660.97165</v>
      </c>
      <c r="B247" s="1" t="str">
        <f>IFERROR(__xludf.DUMMYFUNCTION("""COMPUTED_VALUE"""),"leybasam@gmail.com")</f>
        <v>leybasam@gmail.com</v>
      </c>
      <c r="C247" s="1" t="str">
        <f>IFERROR(__xludf.DUMMYFUNCTION("""COMPUTED_VALUE"""),"Lessmann, C. &amp; Kramer, N. The effect of cap and trade on sectoral emissions: Evidence from California")</f>
        <v>Lessmann, C. &amp; Kramer, N. The effect of cap and trade on sectoral emissions: Evidence from California</v>
      </c>
      <c r="D247" s="1" t="str">
        <f>IFERROR(__xludf.DUMMYFUNCTION("""COMPUTED_VALUE"""),"a Technische Universität Dresden, Helmholtzstr. 10, Dresden, 01069, Germany b Ifo Institute for Economic Research &amp; CESifo Munich, Poschingerstr. 5, München, 81679, Germany c Research Institute for Sustainability (Helmholtz Centre Potsdam), Berliner Str. "&amp;"130, Potsdam, 14467, Germany d Potsdam Institute for Climate Impact Research, Telegrafenberg A 31, Potsdam, 14473, Germany")</f>
        <v>a Technische Universität Dresden, Helmholtzstr. 10, Dresden, 01069, Germany b Ifo Institute for Economic Research &amp; CESifo Munich, Poschingerstr. 5, München, 81679, Germany c Research Institute for Sustainability (Helmholtz Centre Potsdam), Berliner Str. 130, Potsdam, 14467, Germany d Potsdam Institute for Climate Impact Research, Telegrafenberg A 31, Potsdam, 14473, Germany</v>
      </c>
      <c r="E247" s="1" t="str">
        <f>IFERROR(__xludf.DUMMYFUNCTION("""COMPUTED_VALUE"""),"NEGATIVE")</f>
        <v>NEGATIVE</v>
      </c>
      <c r="F247" s="1" t="str">
        <f>IFERROR(__xludf.DUMMYFUNCTION("""COMPUTED_VALUE"""),"Emissions Trading")</f>
        <v>Emissions Trading</v>
      </c>
      <c r="G247" s="1" t="str">
        <f>IFERROR(__xludf.DUMMYFUNCTION("""COMPUTED_VALUE"""),"Argues that CTS increased the amount of carbon emissions when implemented in California. ")</f>
        <v>Argues that CTS increased the amount of carbon emissions when implemented in California. </v>
      </c>
      <c r="H247" s="1" t="str">
        <f>IFERROR(__xludf.DUMMYFUNCTION("""COMPUTED_VALUE"""),"We study the impact of California’s cap-and-trade system on carbon emissions in the electricity and industrial
sectors. We use US state-level panel data covering the period 2005–2019 and apply the synthetic control
method to construct an optimal counterfa"&amp;"ctual for per capita emissions in each sector. In our experiment,
emissions in the power sector fall below counterfactual emissions by 48%. In the industrial sector, the state’s
emissions are 6% higher than those of the synthetic control unit by the end o"&amp;"f the observation period. Thus,
cap-and-trade failed to deliver decarbonization across both sectors. While the abatement in the power sector
was facilitated by complementary policies and driven by a switch from natural gas to renewables, California’s
poli"&amp;"cy mix has disincentivized emission reductions in the industrial sector.")</f>
        <v>We study the impact of California’s cap-and-trade system on carbon emissions in the electricity and industrial
sectors. We use US state-level panel data covering the period 2005–2019 and apply the synthetic control
method to construct an optimal counterfactual for per capita emissions in each sector. In our experiment,
emissions in the power sector fall below counterfactual emissions by 48%. In the industrial sector, the state’s
emissions are 6% higher than those of the synthetic control unit by the end of the observation period. Thus,
cap-and-trade failed to deliver decarbonization across both sectors. While the abatement in the power sector
was facilitated by complementary policies and driven by a switch from natural gas to renewables, California’s
policy mix has disincentivized emission reductions in the industrial sector.</v>
      </c>
      <c r="I247" s="1" t="str">
        <f>IFERROR(__xludf.DUMMYFUNCTION("""COMPUTED_VALUE"""),"Leyba, UO")</f>
        <v>Leyba, UO</v>
      </c>
      <c r="J247" s="1" t="str">
        <f>IFERROR(__xludf.DUMMYFUNCTION("""COMPUTED_VALUE"""),"Wave 3 (Due Dec. 27)")</f>
        <v>Wave 3 (Due Dec. 27)</v>
      </c>
      <c r="K247" s="5" t="str">
        <f>IFERROR(__xludf.DUMMYFUNCTION("""COMPUTED_VALUE"""),"https://drive.google.com/open?id=1IVhlQI9hPPDqjOw5OtPMNgJYy5FV98P-")</f>
        <v>https://drive.google.com/open?id=1IVhlQI9hPPDqjOw5OtPMNgJYy5FV98P-</v>
      </c>
      <c r="L247" s="3" t="s">
        <v>2</v>
      </c>
    </row>
    <row r="248">
      <c r="A248" s="4">
        <f>IFERROR(__xludf.DUMMYFUNCTION("""COMPUTED_VALUE"""),45660.9735614699)</f>
        <v>45660.97356</v>
      </c>
      <c r="B248" s="1" t="str">
        <f>IFERROR(__xludf.DUMMYFUNCTION("""COMPUTED_VALUE"""),"leybasam@gmail.com")</f>
        <v>leybasam@gmail.com</v>
      </c>
      <c r="C248" s="1" t="str">
        <f>IFERROR(__xludf.DUMMYFUNCTION("""COMPUTED_VALUE"""),"Song, L. (2019) Cap and Trade is Supposed to Solve Climate Change but Oil and Gas Company Emissions are up. Pro Publica")</f>
        <v>Song, L. (2019) Cap and Trade is Supposed to Solve Climate Change but Oil and Gas Company Emissions are up. Pro Publica</v>
      </c>
      <c r="D248" s="1" t="str">
        <f>IFERROR(__xludf.DUMMYFUNCTION("""COMPUTED_VALUE"""),"Lisa Song is a Pulitzer Prize nominated investigative journalist working at the forefront of climate change journalism. She joined ProPublica in 2017 after six years at InsideClimate News, where she covered climate science and environmental health. She wa"&amp;"s part of the reporting team that revealed Exxon’s shift from conducting global warming research to supporting climate denial, a series that was a finalist for the 2016 Pulitzer Prize for public service. From 2013-2014 she reported extensively on air poll"&amp;"ution from Texas’ oil and gas boom as part of a collaboration between several newsrooms. Lisa is a co-author of “The Dilbit Disaster,” which won a Pulitzer for national reporting. She has degrees in earth science and science writing from the Massachusetts"&amp;" Institute of Technology.")</f>
        <v>Lisa Song is a Pulitzer Prize nominated investigative journalist working at the forefront of climate change journalism. She joined ProPublica in 2017 after six years at InsideClimate News, where she covered climate science and environmental health. She was part of the reporting team that revealed Exxon’s shift from conducting global warming research to supporting climate denial, a series that was a finalist for the 2016 Pulitzer Prize for public service. From 2013-2014 she reported extensively on air pollution from Texas’ oil and gas boom as part of a collaboration between several newsrooms. Lisa is a co-author of “The Dilbit Disaster,” which won a Pulitzer for national reporting. She has degrees in earth science and science writing from the Massachusetts Institute of Technology.</v>
      </c>
      <c r="E248" s="1" t="str">
        <f>IFERROR(__xludf.DUMMYFUNCTION("""COMPUTED_VALUE"""),"NEGATIVE")</f>
        <v>NEGATIVE</v>
      </c>
      <c r="F248" s="1" t="str">
        <f>IFERROR(__xludf.DUMMYFUNCTION("""COMPUTED_VALUE"""),"Emissions Trading")</f>
        <v>Emissions Trading</v>
      </c>
      <c r="G248" s="1" t="str">
        <f>IFERROR(__xludf.DUMMYFUNCTION("""COMPUTED_VALUE"""),"Oil and Gas lobbies have lobbied for minimal caps that allowed for an increase in pollution.")</f>
        <v>Oil and Gas lobbies have lobbied for minimal caps that allowed for an increase in pollution.</v>
      </c>
      <c r="H248" s="1" t="str">
        <f>IFERROR(__xludf.DUMMYFUNCTION("""COMPUTED_VALUE"""),"Countries have called California’s cap-and-trade program the answer to
climate change. But it is just as vulnerable to lobbying as any other
legislation. The result: The state’s biggest oil and gas companies have
actually polluted more since it started.")</f>
        <v>Countries have called California’s cap-and-trade program the answer to
climate change. But it is just as vulnerable to lobbying as any other
legislation. The result: The state’s biggest oil and gas companies have
actually polluted more since it started.</v>
      </c>
      <c r="I248" s="1" t="str">
        <f>IFERROR(__xludf.DUMMYFUNCTION("""COMPUTED_VALUE"""),"Leyba, UO")</f>
        <v>Leyba, UO</v>
      </c>
      <c r="J248" s="1" t="str">
        <f>IFERROR(__xludf.DUMMYFUNCTION("""COMPUTED_VALUE"""),"Wave 3 (Due Dec. 27)")</f>
        <v>Wave 3 (Due Dec. 27)</v>
      </c>
      <c r="K248" s="5" t="str">
        <f>IFERROR(__xludf.DUMMYFUNCTION("""COMPUTED_VALUE"""),"https://drive.google.com/open?id=1pDq6086vc-tHEJWFAJGrFeKf36t7oz_a")</f>
        <v>https://drive.google.com/open?id=1pDq6086vc-tHEJWFAJGrFeKf36t7oz_a</v>
      </c>
      <c r="L248" s="3" t="s">
        <v>1</v>
      </c>
    </row>
    <row r="249">
      <c r="A249" s="4">
        <f>IFERROR(__xludf.DUMMYFUNCTION("""COMPUTED_VALUE"""),45660.9750052662)</f>
        <v>45660.97501</v>
      </c>
      <c r="B249" s="1" t="str">
        <f>IFERROR(__xludf.DUMMYFUNCTION("""COMPUTED_VALUE"""),"leybasam@gmail.com")</f>
        <v>leybasam@gmail.com</v>
      </c>
      <c r="C249" s="1" t="str">
        <f>IFERROR(__xludf.DUMMYFUNCTION("""COMPUTED_VALUE"""),"Van Den Bergh, J. (2024) Prioritize Carbon Pricing Over Fossil-Fuel Subsidy Reform")</f>
        <v>Van Den Bergh, J. (2024) Prioritize Carbon Pricing Over Fossil-Fuel Subsidy Reform</v>
      </c>
      <c r="D249" s="1" t="str">
        <f>IFERROR(__xludf.DUMMYFUNCTION("""COMPUTED_VALUE"""),"Institute of Environmental Science and Technology, Universitat Autònoma de Barcelona, UAB campus, 08193 Bellaterra, Spain. 2 ICREA, Passeig de Lluís Companys 23, 08010 Barcelona, Spain. 3 School of Business and Economics &amp; Institute of Environmental Studi"&amp;"es, Vrije Universiteit, De Boelelaan 1105, Amsterdam 1081 HV, the Netherlands. 4 Faculty of Technology, Policy and Management, Economics of Technology and Innovation, Delft University of Technology, Jaffalaan 5, 2628 BX Delft, the Netherlands.")</f>
        <v>Institute of Environmental Science and Technology, Universitat Autònoma de Barcelona, UAB campus, 08193 Bellaterra, Spain. 2 ICREA, Passeig de Lluís Companys 23, 08010 Barcelona, Spain. 3 School of Business and Economics &amp; Institute of Environmental Studies, Vrije Universiteit, De Boelelaan 1105, Amsterdam 1081 HV, the Netherlands. 4 Faculty of Technology, Policy and Management, Economics of Technology and Innovation, Delft University of Technology, Jaffalaan 5, 2628 BX Delft, the Netherlands.</v>
      </c>
      <c r="E249" s="1" t="str">
        <f>IFERROR(__xludf.DUMMYFUNCTION("""COMPUTED_VALUE"""),"MIXED")</f>
        <v>MIXED</v>
      </c>
      <c r="F249" s="1" t="str">
        <f>IFERROR(__xludf.DUMMYFUNCTION("""COMPUTED_VALUE"""),"Remove Fossil Fuel Subsidies")</f>
        <v>Remove Fossil Fuel Subsidies</v>
      </c>
      <c r="G249" s="1" t="str">
        <f>IFERROR(__xludf.DUMMYFUNCTION("""COMPUTED_VALUE"""),"Argues that FFS are too minimal to make a dent in emissions. Focus should be on carbon pricing instead.")</f>
        <v>Argues that FFS are too minimal to make a dent in emissions. Focus should be on carbon pricing instead.</v>
      </c>
      <c r="H249" s="1" t="str">
        <f>IFERROR(__xludf.DUMMYFUNCTION("""COMPUTED_VALUE"""),"While many climate activist groups enthusiastically advocate for the removal of fossil-fuel subsidies, we
argue that this overstates both the climate effectiveness and political feasibility of such a strategy.
Through synthesizing information from various"&amp;" global studies, we show that subsidies contribute to a relatively
small portion of climate change and local externality problems, likely accounting for around 1%. We
further argue that reform of fossil-fuel subsidies is hampered by various political and "&amp;"social factors, more
so than the diffusion of carbon pricing. Based on these results, we argue that the far greater problem of
unpriced externalities warrants a redirection or expansion of the enthusiasm for subsidy reform toward
carbon pricing. This make"&amp;"s sense also as subsidy reform and carbon pricing essentially represent two sides
of the same coin since both contribute to climate mitigation by raising fossil-fuel prices.")</f>
        <v>While many climate activist groups enthusiastically advocate for the removal of fossil-fuel subsidies, we
argue that this overstates both the climate effectiveness and political feasibility of such a strategy.
Through synthesizing information from various global studies, we show that subsidies contribute to a relatively
small portion of climate change and local externality problems, likely accounting for around 1%. We
further argue that reform of fossil-fuel subsidies is hampered by various political and social factors, more
so than the diffusion of carbon pricing. Based on these results, we argue that the far greater problem of
unpriced externalities warrants a redirection or expansion of the enthusiasm for subsidy reform toward
carbon pricing. This makes sense also as subsidy reform and carbon pricing essentially represent two sides
of the same coin since both contribute to climate mitigation by raising fossil-fuel prices.</v>
      </c>
      <c r="I249" s="1" t="str">
        <f>IFERROR(__xludf.DUMMYFUNCTION("""COMPUTED_VALUE"""),"Leyba UO")</f>
        <v>Leyba UO</v>
      </c>
      <c r="J249" s="1" t="str">
        <f>IFERROR(__xludf.DUMMYFUNCTION("""COMPUTED_VALUE"""),"Wave 3 (Due Dec. 27)")</f>
        <v>Wave 3 (Due Dec. 27)</v>
      </c>
      <c r="K249" s="5" t="str">
        <f>IFERROR(__xludf.DUMMYFUNCTION("""COMPUTED_VALUE"""),"https://drive.google.com/open?id=1sdF35CcQEeccDFBhHw5sLlItt49bquSR")</f>
        <v>https://drive.google.com/open?id=1sdF35CcQEeccDFBhHw5sLlItt49bquSR</v>
      </c>
      <c r="L249" s="3" t="s">
        <v>1</v>
      </c>
    </row>
    <row r="250">
      <c r="A250" s="4">
        <f>IFERROR(__xludf.DUMMYFUNCTION("""COMPUTED_VALUE"""),45660.999405509254)</f>
        <v>45660.99941</v>
      </c>
      <c r="B250" s="1" t="str">
        <f>IFERROR(__xludf.DUMMYFUNCTION("""COMPUTED_VALUE"""),"mironova.maria.dm@gmail.com")</f>
        <v>mironova.maria.dm@gmail.com</v>
      </c>
      <c r="C250" s="1" t="str">
        <f>IFERROR(__xludf.DUMMYFUNCTION("""COMPUTED_VALUE"""),"Ediger, V. Ş., &amp; Berk, I. (2023). Future availability of natural gas: Can it support sustainable energy transition? Resources Policy, 85, 103824. https://doi.org/10.1016/j.resourpol.2023.103824")</f>
        <v>Ediger, V. Ş., &amp; Berk, I. (2023). Future availability of natural gas: Can it support sustainable energy transition? Resources Policy, 85, 103824. https://doi.org/10.1016/j.resourpol.2023.103824</v>
      </c>
      <c r="D250" s="1" t="str">
        <f>IFERROR(__xludf.DUMMYFUNCTION("""COMPUTED_VALUE"""),"Ediger was at the Center for Energy an Sustainable Development at Kadir Has University, Berk was at the Department of Economics in the Faculty of Business at Douz Eylul University. ")</f>
        <v>Ediger was at the Center for Energy an Sustainable Development at Kadir Has University, Berk was at the Department of Economics in the Faculty of Business at Douz Eylul University. </v>
      </c>
      <c r="E250" s="1" t="str">
        <f>IFERROR(__xludf.DUMMYFUNCTION("""COMPUTED_VALUE"""),"NEGATIVE")</f>
        <v>NEGATIVE</v>
      </c>
      <c r="F250" s="1" t="str">
        <f>IFERROR(__xludf.DUMMYFUNCTION("""COMPUTED_VALUE"""),"Natural Gas DA/CP")</f>
        <v>Natural Gas DA/CP</v>
      </c>
      <c r="G250" s="1" t="str">
        <f>IFERROR(__xludf.DUMMYFUNCTION("""COMPUTED_VALUE"""),"The transition to a fully renewable energy supply motivated by climate change mitigations requires a transition fuel of some sort as we balance decreasing emissions and introducing new energy sources into the system. However, while the current amount of N"&amp;"G is sufficient to support this transition, the GHG emissions from the lifecycle at large will likely result in no net change in CO2 emissions during this transition period, especially as many OECD countries will see a decrease in NG production, which wil"&amp;"l result in a NG supply deficit, pushing companies and countries to adapt to these new conditions.  ")</f>
        <v>The transition to a fully renewable energy supply motivated by climate change mitigations requires a transition fuel of some sort as we balance decreasing emissions and introducing new energy sources into the system. However, while the current amount of NG is sufficient to support this transition, the GHG emissions from the lifecycle at large will likely result in no net change in CO2 emissions during this transition period, especially as many OECD countries will see a decrease in NG production, which will result in a NG supply deficit, pushing companies and countries to adapt to these new conditions.  </v>
      </c>
      <c r="H250" s="1" t="str">
        <f>IFERROR(__xludf.DUMMYFUNCTION("""COMPUTED_VALUE"""),"Mitigating the adverse effects of global climate change and limiting global warming to 1.5 ◦C requires a complete
transition from fossil fuels to renewable energy sources. Despite ongoing global efforts, particularly since the
Paris Agreement in 2015, ren"&amp;"ewables are expected to not fully meet global energy demand by 2050. In this
context, natural gas is expected to be a complementary fuel to support renewables throughout the transition. This
paper assesses whether the future availability of global resourc"&amp;"es would enable natural gas to support sustainable
energy transition. To this end, we first employ R/P ratio and Hubbert curve analyses and then compare our
results with the recent natural gas supply/demand forecasts in the literature. Our findings sugges"&amp;"t that global
natural gas resources, both conventional and unconventional, are enough to meet forecasted global natural gas
demand. This requires substantial investment in the natural gas industry, which would further increase green
house gas emissions. T"&amp;"herefore, natural gas resource-rich countries and the natural gas industry must adapt their
operations to the new global paradigm framed by Paris Agreement and United Nations Sustainable Development
Goals. ")</f>
        <v>Mitigating the adverse effects of global climate change and limiting global warming to 1.5 ◦C requires a complete
transition from fossil fuels to renewable energy sources. Despite ongoing global efforts, particularly since the
Paris Agreement in 2015, renewables are expected to not fully meet global energy demand by 2050. In this
context, natural gas is expected to be a complementary fuel to support renewables throughout the transition. This
paper assesses whether the future availability of global resources would enable natural gas to support sustainable
energy transition. To this end, we first employ R/P ratio and Hubbert curve analyses and then compare our
results with the recent natural gas supply/demand forecasts in the literature. Our findings suggest that global
natural gas resources, both conventional and unconventional, are enough to meet forecasted global natural gas
demand. This requires substantial investment in the natural gas industry, which would further increase green
house gas emissions. Therefore, natural gas resource-rich countries and the natural gas industry must adapt their
operations to the new global paradigm framed by Paris Agreement and United Nations Sustainable Development
Goals. </v>
      </c>
      <c r="I250" s="1" t="str">
        <f>IFERROR(__xludf.DUMMYFUNCTION("""COMPUTED_VALUE"""),"Mironova UO")</f>
        <v>Mironova UO</v>
      </c>
      <c r="J250" s="1" t="str">
        <f>IFERROR(__xludf.DUMMYFUNCTION("""COMPUTED_VALUE"""),"Wave 3 (Due Dec. 27)")</f>
        <v>Wave 3 (Due Dec. 27)</v>
      </c>
      <c r="K250" s="5" t="str">
        <f>IFERROR(__xludf.DUMMYFUNCTION("""COMPUTED_VALUE"""),"https://drive.google.com/open?id=19-V6up88DdmwNd7JvjRWCq35OujLMKYg")</f>
        <v>https://drive.google.com/open?id=19-V6up88DdmwNd7JvjRWCq35OujLMKYg</v>
      </c>
      <c r="L250" s="3" t="s">
        <v>2</v>
      </c>
    </row>
    <row r="251">
      <c r="A251" s="4">
        <f>IFERROR(__xludf.DUMMYFUNCTION("""COMPUTED_VALUE"""),45662.91541087963)</f>
        <v>45662.91541</v>
      </c>
      <c r="B251" s="1" t="str">
        <f>IFERROR(__xludf.DUMMYFUNCTION("""COMPUTED_VALUE"""),"riley.rosalie@gmail.com")</f>
        <v>riley.rosalie@gmail.com</v>
      </c>
      <c r="C251" s="1" t="str">
        <f>IFERROR(__xludf.DUMMYFUNCTION("""COMPUTED_VALUE"""),"Chyong, C. K. and Shahabuddin, M. (2024). Securing Europe’s Net Zero Path with Flexible LNG. Centre on Regulation in Europe, 1-76. ")</f>
        <v>Chyong, C. K. and Shahabuddin, M. (2024). Securing Europe’s Net Zero Path with Flexible LNG. Centre on Regulation in Europe, 1-76. </v>
      </c>
      <c r="D251" s="1" t="str">
        <f>IFERROR(__xludf.DUMMYFUNCTION("""COMPUTED_VALUE"""),"Chi Kong Chyong is an external associate at the Center on Global Energy Policy at Columbia University. He is an applied energy economist and policy analyst with a strong background and more than 15 years of experience in applications of economics and oper"&amp;"ational research methods to energy and climate policy questions. Muntasir Shahabuddin is chemical engineer at the Worchester Polytechnic Institute. ")</f>
        <v>Chi Kong Chyong is an external associate at the Center on Global Energy Policy at Columbia University. He is an applied energy economist and policy analyst with a strong background and more than 15 years of experience in applications of economics and operational research methods to energy and climate policy questions. Muntasir Shahabuddin is chemical engineer at the Worchester Polytechnic Institute. </v>
      </c>
      <c r="E251" s="1" t="str">
        <f>IFERROR(__xludf.DUMMYFUNCTION("""COMPUTED_VALUE"""),"AFFIRMATIVE")</f>
        <v>AFFIRMATIVE</v>
      </c>
      <c r="F251" s="1" t="str">
        <f>IFERROR(__xludf.DUMMYFUNCTION("""COMPUTED_VALUE"""),"LNG DA")</f>
        <v>LNG DA</v>
      </c>
      <c r="G251" s="1" t="str">
        <f>IFERROR(__xludf.DUMMYFUNCTION("""COMPUTED_VALUE"""),"Aff answers to the Europe war scenario. It makes the argument that LNG consumption in Europe is going to inevitably decline.")</f>
        <v>Aff answers to the Europe war scenario. It makes the argument that LNG consumption in Europe is going to inevitably decline.</v>
      </c>
      <c r="H251" s="1"/>
      <c r="I251" s="1" t="str">
        <f>IFERROR(__xludf.DUMMYFUNCTION("""COMPUTED_VALUE"""),"Talamantes WSU")</f>
        <v>Talamantes WSU</v>
      </c>
      <c r="J251" s="1" t="str">
        <f>IFERROR(__xludf.DUMMYFUNCTION("""COMPUTED_VALUE"""),"Wave 3 (Due Dec. 27)")</f>
        <v>Wave 3 (Due Dec. 27)</v>
      </c>
      <c r="K251" s="5" t="str">
        <f>IFERROR(__xludf.DUMMYFUNCTION("""COMPUTED_VALUE"""),"https://drive.google.com/open?id=15V3mma2qRWzwLrra8p7hqOewmpN4h9sf")</f>
        <v>https://drive.google.com/open?id=15V3mma2qRWzwLrra8p7hqOewmpN4h9sf</v>
      </c>
      <c r="L251" s="3" t="s">
        <v>1</v>
      </c>
    </row>
    <row r="252">
      <c r="A252" s="4">
        <f>IFERROR(__xludf.DUMMYFUNCTION("""COMPUTED_VALUE"""),45662.91829108796)</f>
        <v>45662.91829</v>
      </c>
      <c r="B252" s="1" t="str">
        <f>IFERROR(__xludf.DUMMYFUNCTION("""COMPUTED_VALUE"""),"riley.rosalie@gmail.com")</f>
        <v>riley.rosalie@gmail.com</v>
      </c>
      <c r="C252" s="1" t="str">
        <f>IFERROR(__xludf.DUMMYFUNCTION("""COMPUTED_VALUE"""),"Zakaria, A. (2019). U.S. Energy Dominance: from Whale Oil to Shale; How the New U.S. Energy Doctrine will Change the World. IAEE Energy Forum, 17-19")</f>
        <v>Zakaria, A. (2019). U.S. Energy Dominance: from Whale Oil to Shale; How the New U.S. Energy Doctrine will Change the World. IAEE Energy Forum, 17-19</v>
      </c>
      <c r="D252" s="1" t="str">
        <f>IFERROR(__xludf.DUMMYFUNCTION("""COMPUTED_VALUE"""),"Amro Zakaria is a co-founder and Managing Director of Market Trader Academy USA. He is an expert in the financial service industry with over 16 years of global financial markets experience. Warming Defense")</f>
        <v>Amro Zakaria is a co-founder and Managing Director of Market Trader Academy USA. He is an expert in the financial service industry with over 16 years of global financial markets experience. Warming Defense</v>
      </c>
      <c r="E252" s="1" t="str">
        <f>IFERROR(__xludf.DUMMYFUNCTION("""COMPUTED_VALUE"""),"NEGATIVE")</f>
        <v>NEGATIVE</v>
      </c>
      <c r="F252" s="1" t="str">
        <f>IFERROR(__xludf.DUMMYFUNCTION("""COMPUTED_VALUE"""),"LNG DA")</f>
        <v>LNG DA</v>
      </c>
      <c r="G252" s="1" t="str">
        <f>IFERROR(__xludf.DUMMYFUNCTION("""COMPUTED_VALUE"""),"Existential impact to the Europe War scenario for the DA")</f>
        <v>Existential impact to the Europe War scenario for the DA</v>
      </c>
      <c r="H252" s="1"/>
      <c r="I252" s="1" t="str">
        <f>IFERROR(__xludf.DUMMYFUNCTION("""COMPUTED_VALUE"""),"Talamantes WSU")</f>
        <v>Talamantes WSU</v>
      </c>
      <c r="J252" s="1" t="str">
        <f>IFERROR(__xludf.DUMMYFUNCTION("""COMPUTED_VALUE"""),"Wave 3 (Due Dec. 27)")</f>
        <v>Wave 3 (Due Dec. 27)</v>
      </c>
      <c r="K252" s="5" t="str">
        <f>IFERROR(__xludf.DUMMYFUNCTION("""COMPUTED_VALUE"""),"https://drive.google.com/open?id=1SwP8MreBIurJzXhRTl4mkg5cA6XcAtuX")</f>
        <v>https://drive.google.com/open?id=1SwP8MreBIurJzXhRTl4mkg5cA6XcAtuX</v>
      </c>
      <c r="L252" s="3" t="s">
        <v>1</v>
      </c>
    </row>
    <row r="253">
      <c r="A253" s="4">
        <f>IFERROR(__xludf.DUMMYFUNCTION("""COMPUTED_VALUE"""),45662.92127175926)</f>
        <v>45662.92127</v>
      </c>
      <c r="B253" s="1" t="str">
        <f>IFERROR(__xludf.DUMMYFUNCTION("""COMPUTED_VALUE"""),"riley.rosalie@gmail.com")</f>
        <v>riley.rosalie@gmail.com</v>
      </c>
      <c r="C253" s="1" t="str">
        <f>IFERROR(__xludf.DUMMYFUNCTION("""COMPUTED_VALUE"""),"McCown, B. (March 2024). Effective US Energy Policy Could Strengthen International Security. Hudson Institute, 1-8")</f>
        <v>McCown, B. (March 2024). Effective US Energy Policy Could Strengthen International Security. Hudson Institute, 1-8</v>
      </c>
      <c r="D253" s="1" t="str">
        <f>IFERROR(__xludf.DUMMYFUNCTION("""COMPUTED_VALUE"""),"Brigham McCown is a senior fellow and director of the Initiative on American Energy Security at Hudson Institute. His research specialty is in domestic and foreign policy energy security, arctic energy policy, and political science. ")</f>
        <v>Brigham McCown is a senior fellow and director of the Initiative on American Energy Security at Hudson Institute. His research specialty is in domestic and foreign policy energy security, arctic energy policy, and political science. </v>
      </c>
      <c r="E253" s="1" t="str">
        <f>IFERROR(__xludf.DUMMYFUNCTION("""COMPUTED_VALUE"""),"NEGATIVE")</f>
        <v>NEGATIVE</v>
      </c>
      <c r="F253" s="1" t="str">
        <f>IFERROR(__xludf.DUMMYFUNCTION("""COMPUTED_VALUE"""),"LNG DA")</f>
        <v>LNG DA</v>
      </c>
      <c r="G253" s="1" t="str">
        <f>IFERROR(__xludf.DUMMYFUNCTION("""COMPUTED_VALUE"""),"The internal link article to the DA, discusses why LNG is necessary for hegemony and security.")</f>
        <v>The internal link article to the DA, discusses why LNG is necessary for hegemony and security.</v>
      </c>
      <c r="H253" s="1"/>
      <c r="I253" s="1" t="str">
        <f>IFERROR(__xludf.DUMMYFUNCTION("""COMPUTED_VALUE"""),"Talamantes WSU")</f>
        <v>Talamantes WSU</v>
      </c>
      <c r="J253" s="1" t="str">
        <f>IFERROR(__xludf.DUMMYFUNCTION("""COMPUTED_VALUE"""),"Wave 3 (Due Dec. 27)")</f>
        <v>Wave 3 (Due Dec. 27)</v>
      </c>
      <c r="K253" s="5" t="str">
        <f>IFERROR(__xludf.DUMMYFUNCTION("""COMPUTED_VALUE"""),"https://drive.google.com/open?id=1KpFJn6VMPLWj51nQdnAXmx4xl6yiiEOf")</f>
        <v>https://drive.google.com/open?id=1KpFJn6VMPLWj51nQdnAXmx4xl6yiiEOf</v>
      </c>
      <c r="L253" s="3" t="s">
        <v>1</v>
      </c>
    </row>
    <row r="254">
      <c r="A254" s="4">
        <f>IFERROR(__xludf.DUMMYFUNCTION("""COMPUTED_VALUE"""),45662.92565574074)</f>
        <v>45662.92566</v>
      </c>
      <c r="B254" s="1" t="str">
        <f>IFERROR(__xludf.DUMMYFUNCTION("""COMPUTED_VALUE"""),"riley.rosalie@gmail.com")</f>
        <v>riley.rosalie@gmail.com</v>
      </c>
      <c r="C254" s="1" t="str">
        <f>IFERROR(__xludf.DUMMYFUNCTION("""COMPUTED_VALUE"""),"Woollacott, J. (2020). A bridge too far? The role of natural gas electricity generation in US climate policy. Energy Policy, 147, 1-10. ")</f>
        <v>Woollacott, J. (2020). A bridge too far? The role of natural gas electricity generation in US climate policy. Energy Policy, 147, 1-10. </v>
      </c>
      <c r="D254" s="1" t="str">
        <f>IFERROR(__xludf.DUMMYFUNCTION("""COMPUTED_VALUE"""),"Jared Woollacott is a chief economist at the U.S. Energy Information Administration. He has been an economist studying energy systems and the environment for over 20 years. ")</f>
        <v>Jared Woollacott is a chief economist at the U.S. Energy Information Administration. He has been an economist studying energy systems and the environment for over 20 years. </v>
      </c>
      <c r="E254" s="1" t="str">
        <f>IFERROR(__xludf.DUMMYFUNCTION("""COMPUTED_VALUE"""),"MIXED")</f>
        <v>MIXED</v>
      </c>
      <c r="F254" s="1" t="str">
        <f>IFERROR(__xludf.DUMMYFUNCTION("""COMPUTED_VALUE"""),"LNG DA")</f>
        <v>LNG DA</v>
      </c>
      <c r="G254" s="1" t="str">
        <f>IFERROR(__xludf.DUMMYFUNCTION("""COMPUTED_VALUE"""),"Says it’s a bad bridge fuel but a carbon tax/price would wreck the industry.")</f>
        <v>Says it’s a bad bridge fuel but a carbon tax/price would wreck the industry.</v>
      </c>
      <c r="H254" s="1" t="str">
        <f>IFERROR(__xludf.DUMMYFUNCTION("""COMPUTED_VALUE"""),"Natural gas has been promoted as a ""bridge"" fuel toward a low-carbon future by offering near-term emissions reductions at lower cost. Existing literature is inconclusive on the short-term emissions benefits of more abundant natural gas. The long-lived n"&amp;"ature of natural gas infrastructure also threatens to lock in emissions levels well above longer-term targets. If natural gas can offer short-to-medium term benefits, how much of a bridge should we build? Using ARTIMAS, a foresighted computable general eq"&amp;"uilibrium model of the US economy, we interact scenarios developed by the EMF-34 study group related to abundant natural gas, low-cost renewables, and a carbon tax to examine the role of natural gas in a carbon-constrained future. We find that abundant na"&amp;"tural gas alone does not have a 
significant impact on CO₂ emissions. We also find that, under a higher carbon tax, natural gas investment of approximately $10 billion per year declines to zero at a tax of about $40/ton and existing natural gas assets fac"&amp;"e significant risk of impairment. Last, the presence of abundant natural gas lowers the marginal welfare cost of abating small amounts of CO2 but is likely to raise the cost of abatement levels consistent with common climate objectives. The integrated wel"&amp;"fare costs of climate policy depend on how much abatement we must undertake.")</f>
        <v>Natural gas has been promoted as a "bridge" fuel toward a low-carbon future by offering near-term emissions reductions at lower cost. Existing literature is inconclusive on the short-term emissions benefits of more abundant natural gas. The long-lived nature of natural gas infrastructure also threatens to lock in emissions levels well above longer-term targets. If natural gas can offer short-to-medium term benefits, how much of a bridge should we build? Using ARTIMAS, a foresighted computable general equilibrium model of the US economy, we interact scenarios developed by the EMF-34 study group related to abundant natural gas, low-cost renewables, and a carbon tax to examine the role of natural gas in a carbon-constrained future. We find that abundant natural gas alone does not have a 
significant impact on CO₂ emissions. We also find that, under a higher carbon tax, natural gas investment of approximately $10 billion per year declines to zero at a tax of about $40/ton and existing natural gas assets face significant risk of impairment. Last, the presence of abundant natural gas lowers the marginal welfare cost of abating small amounts of CO2 but is likely to raise the cost of abatement levels consistent with common climate objectives. The integrated welfare costs of climate policy depend on how much abatement we must undertake.</v>
      </c>
      <c r="I254" s="1" t="str">
        <f>IFERROR(__xludf.DUMMYFUNCTION("""COMPUTED_VALUE"""),"Talamantes WSU")</f>
        <v>Talamantes WSU</v>
      </c>
      <c r="J254" s="1" t="str">
        <f>IFERROR(__xludf.DUMMYFUNCTION("""COMPUTED_VALUE"""),"Wave 3 (Due Dec. 27)")</f>
        <v>Wave 3 (Due Dec. 27)</v>
      </c>
      <c r="K254" s="5" t="str">
        <f>IFERROR(__xludf.DUMMYFUNCTION("""COMPUTED_VALUE"""),"https://drive.google.com/open?id=1-zJuwqyRP6su0_Mvpnp7i4k_uJkfMb4N")</f>
        <v>https://drive.google.com/open?id=1-zJuwqyRP6su0_Mvpnp7i4k_uJkfMb4N</v>
      </c>
      <c r="L254" s="3" t="s">
        <v>1</v>
      </c>
    </row>
    <row r="255">
      <c r="A255" s="4">
        <f>IFERROR(__xludf.DUMMYFUNCTION("""COMPUTED_VALUE"""),45698.897960069444)</f>
        <v>45698.89796</v>
      </c>
      <c r="B255" s="1" t="str">
        <f>IFERROR(__xludf.DUMMYFUNCTION("""COMPUTED_VALUE"""),"riley.rosalie@gmail.com")</f>
        <v>riley.rosalie@gmail.com</v>
      </c>
      <c r="C255" s="1" t="str">
        <f>IFERROR(__xludf.DUMMYFUNCTION("""COMPUTED_VALUE"""),"Zahidi, S. (10 January 2024). The Global Risks Report 2024, 19th Edition, Insight Report. World Economic Forum. https://info.marsh.com/l/395202/2024-01-02/cl9mcq/395202/1704819094TNmMf0kN/World_Economic_Forum_Global_Risks_Report_2024.pdf")</f>
        <v>Zahidi, S. (10 January 2024). The Global Risks Report 2024, 19th Edition, Insight Report. World Economic Forum. https://info.marsh.com/l/395202/2024-01-02/cl9mcq/395202/1704819094TNmMf0kN/World_Economic_Forum_Global_Risks_Report_2024.pdf</v>
      </c>
      <c r="D255" s="1" t="str">
        <f>IFERROR(__xludf.DUMMYFUNCTION("""COMPUTED_VALUE"""),"Managing Director at the World Economic Forum, heading the Centre for the New Economy and Society and the Global Communications Group")</f>
        <v>Managing Director at the World Economic Forum, heading the Centre for the New Economy and Society and the Global Communications Group</v>
      </c>
      <c r="E255" s="1" t="str">
        <f>IFERROR(__xludf.DUMMYFUNCTION("""COMPUTED_VALUE"""),"MIXED")</f>
        <v>MIXED</v>
      </c>
      <c r="F255" s="1" t="str">
        <f>IFERROR(__xludf.DUMMYFUNCTION("""COMPUTED_VALUE"""),"Primarily Carbon Bubble DA but can be used as impacts for other arguments in the library")</f>
        <v>Primarily Carbon Bubble DA but can be used as impacts for other arguments in the library</v>
      </c>
      <c r="G255" s="1" t="str">
        <f>IFERROR(__xludf.DUMMYFUNCTION("""COMPUTED_VALUE"""),"pages 14-39 discuss economic impacts and how weakened economic systems lead to war. There are other impacts in here that can be applied to other parts of the library and it is relevant to the current state of the world since it is from 2024. ")</f>
        <v>pages 14-39 discuss economic impacts and how weakened economic systems lead to war. There are other impacts in here that can be applied to other parts of the library and it is relevant to the current state of the world since it is from 2024. </v>
      </c>
      <c r="H255" s="1"/>
      <c r="I255" s="1" t="str">
        <f>IFERROR(__xludf.DUMMYFUNCTION("""COMPUTED_VALUE"""),"Talamantes WSU")</f>
        <v>Talamantes WSU</v>
      </c>
      <c r="J255" s="1" t="str">
        <f>IFERROR(__xludf.DUMMYFUNCTION("""COMPUTED_VALUE"""),"Wave 3 (Due Dec. 27)")</f>
        <v>Wave 3 (Due Dec. 27)</v>
      </c>
      <c r="K255" s="2"/>
      <c r="L255" s="3" t="s">
        <v>2</v>
      </c>
    </row>
    <row r="256">
      <c r="A256" s="4">
        <f>IFERROR(__xludf.DUMMYFUNCTION("""COMPUTED_VALUE"""),45700.82824405092)</f>
        <v>45700.82824</v>
      </c>
      <c r="B256" s="1" t="str">
        <f>IFERROR(__xludf.DUMMYFUNCTION("""COMPUTED_VALUE"""),"riley.rosalie@gmail.com")</f>
        <v>riley.rosalie@gmail.com</v>
      </c>
      <c r="C256" s="1" t="str">
        <f>IFERROR(__xludf.DUMMYFUNCTION("""COMPUTED_VALUE"""),"Zahidi, S. (10 January 2024). The Global Risks Report 2024, 19th Edition, Insight Report. World Economic Forum. https://info.marsh.com/l/395202/2024-01-02/cl9mcq/395202/1704819094TNmMf0kN/World_Economic_Forum_Global_Risks_Report_2024.pdf")</f>
        <v>Zahidi, S. (10 January 2024). The Global Risks Report 2024, 19th Edition, Insight Report. World Economic Forum. https://info.marsh.com/l/395202/2024-01-02/cl9mcq/395202/1704819094TNmMf0kN/World_Economic_Forum_Global_Risks_Report_2024.pdf</v>
      </c>
      <c r="D256" s="1" t="str">
        <f>IFERROR(__xludf.DUMMYFUNCTION("""COMPUTED_VALUE"""),"Managing Director at the World Economic Forum, heading the Centre for the New Economy and Society and the Global Communications Group")</f>
        <v>Managing Director at the World Economic Forum, heading the Centre for the New Economy and Society and the Global Communications Group</v>
      </c>
      <c r="E256" s="1" t="str">
        <f>IFERROR(__xludf.DUMMYFUNCTION("""COMPUTED_VALUE"""),"MIXED")</f>
        <v>MIXED</v>
      </c>
      <c r="F256" s="1" t="str">
        <f>IFERROR(__xludf.DUMMYFUNCTION("""COMPUTED_VALUE"""),"Carbon Bubble DA, but can apply to other parts of the library")</f>
        <v>Carbon Bubble DA, but can apply to other parts of the library</v>
      </c>
      <c r="G256" s="1" t="str">
        <f>IFERROR(__xludf.DUMMYFUNCTION("""COMPUTED_VALUE"""),"pages 14-39 discuss economic impacts and how weakened economic systems lead to war. There are other impacts in here that can be applied to other parts of the library and it is relevant to the current state of the world since it is from 2024")</f>
        <v>pages 14-39 discuss economic impacts and how weakened economic systems lead to war. There are other impacts in here that can be applied to other parts of the library and it is relevant to the current state of the world since it is from 2024</v>
      </c>
      <c r="H256" s="1"/>
      <c r="I256" s="1" t="str">
        <f>IFERROR(__xludf.DUMMYFUNCTION("""COMPUTED_VALUE"""),"Talamantes WSU")</f>
        <v>Talamantes WSU</v>
      </c>
      <c r="J256" s="1" t="str">
        <f>IFERROR(__xludf.DUMMYFUNCTION("""COMPUTED_VALUE"""),"Wave 3 (Due Dec. 27)")</f>
        <v>Wave 3 (Due Dec. 27)</v>
      </c>
      <c r="K256" s="5" t="str">
        <f>IFERROR(__xludf.DUMMYFUNCTION("""COMPUTED_VALUE"""),"https://drive.google.com/open?id=1KxFQp1D9N5_kRJdL6S43KmIwkmjm_Fui")</f>
        <v>https://drive.google.com/open?id=1KxFQp1D9N5_kRJdL6S43KmIwkmjm_Fui</v>
      </c>
      <c r="L256" s="3" t="s">
        <v>1</v>
      </c>
    </row>
    <row r="257">
      <c r="A257" s="4">
        <f>IFERROR(__xludf.DUMMYFUNCTION("""COMPUTED_VALUE"""),45726.37512038194)</f>
        <v>45726.37512</v>
      </c>
      <c r="B257" s="1" t="str">
        <f>IFERROR(__xludf.DUMMYFUNCTION("""COMPUTED_VALUE"""),"alexmooney256@gmail.com")</f>
        <v>alexmooney256@gmail.com</v>
      </c>
      <c r="C257" s="1" t="str">
        <f>IFERROR(__xludf.DUMMYFUNCTION("""COMPUTED_VALUE"""),"Evans, A. &amp; Lin, L. (2024). East Asian Energy Security and Biden’s LNG Pause. Progressive Policy Institute.")</f>
        <v>Evans, A. &amp; Lin, L. (2024). East Asian Energy Security and Biden’s LNG Pause. Progressive Policy Institute.</v>
      </c>
      <c r="D257" s="1" t="str">
        <f>IFERROR(__xludf.DUMMYFUNCTION("""COMPUTED_VALUE"""),"Alec Evans is a Communications and Political Affairs Fellow at PPI and a master’s candidate at Johns Hopkins University, where he is pursuing a degree in Global Security Studies with a concentration in Energy and Environmental Security. He is also a Resea"&amp;"rch Assistant Intern at the Wilson Center, where he studies the history of Brazil’s nuclear energy sector. Lief Lin is a Policy Fellow at PPI and is currently a junior at the University of Michigan studying Political Science with a minor in Statistics.")</f>
        <v>Alec Evans is a Communications and Political Affairs Fellow at PPI and a master’s candidate at Johns Hopkins University, where he is pursuing a degree in Global Security Studies with a concentration in Energy and Environmental Security. He is also a Research Assistant Intern at the Wilson Center, where he studies the history of Brazil’s nuclear energy sector. Lief Lin is a Policy Fellow at PPI and is currently a junior at the University of Michigan studying Political Science with a minor in Statistics.</v>
      </c>
      <c r="E257" s="1" t="str">
        <f>IFERROR(__xludf.DUMMYFUNCTION("""COMPUTED_VALUE"""),"NEGATIVE")</f>
        <v>NEGATIVE</v>
      </c>
      <c r="F257" s="1" t="str">
        <f>IFERROR(__xludf.DUMMYFUNCTION("""COMPUTED_VALUE"""),"Natural Gas DA")</f>
        <v>Natural Gas DA</v>
      </c>
      <c r="G257" s="1" t="str">
        <f>IFERROR(__xludf.DUMMYFUNCTION("""COMPUTED_VALUE"""),"Builds out East Asia scenarios for the LNG DA and interacts with China competitiveness and offshoring arguments surrounding Ctax and ETS. It also includes more recent info on global emissions and affairs")</f>
        <v>Builds out East Asia scenarios for the LNG DA and interacts with China competitiveness and offshoring arguments surrounding Ctax and ETS. It also includes more recent info on global emissions and affairs</v>
      </c>
      <c r="H257" s="1" t="str">
        <f>IFERROR(__xludf.DUMMYFUNCTION("""COMPUTED_VALUE"""),"In 2016, the U.S. began exporting liquefied natural gas. Only eight years later, it has become the world’s largest exporter of LNG, shipping 86 million tons internationally in 2023. The growth of U.S. gas production facilitated the retirement of coal plan"&amp;"ts domestically, bolstered U.S. exports, offered a powerful foreign policy lever, and offered employment to more than 4 million Americans. Furthermore, it allowed the U.S. to fill energy shortfalls in Europe following Russia’s invasion of Ukraine, which c"&amp;"ompelled European nations to reduce their usage of Russian hydrocarbons and caused Moscow to shut down Nord Stream 1 (which was then destroyed in suspected sabotage). As a result, Europe required new sources of natural gas, and the United States was perfe"&amp;"ctly positioned to mitigate these shortages. From 2021 to 2022, U.S. LNG exports to Europe increased a remarkable 119%. However, this came at the cost of U.S. LNG exports to Asia, which fell by nearly 50%.
Asia is the largest importer of liquefied natural"&amp;" gas and leads the world in primary energy consumption. In 2022, the top three importers of LNG were comprised of two key allies and Washington’s chief international competitor: Japan, South Korea, and the world’s largest GHG emitter, China. All three of "&amp;"these countries consume vast amounts of energy and are highly reliant on fossil fuel energy imports. Although a growing capacity exists to fill these needs with renewable energy, such resources are currently unable to fully meet the requirements for balan"&amp;"ced electricity grids and industrial applications. The U.S. is not the primary energy supplier in Asia, but U.S. LNG supply plays a critical role in reducing these nations’ emissions, as U.S. natural gas emits less greenhouse gas than coal, oil, and most "&amp;"other natural gas supply chains. In addition, U.S. natural gas provides energy security to allies, such as Japan and South Korea, in case of disruption or conflict. Ensuring access to sufficient supplies of low-emissions natural gas, accompanied by other "&amp;"innovative, low-carbon, and exportable energy technologies, is vital to American interests. Therefore, the uncertainty created by the Biden administration’s LNG pause risks reducing energy security for U.S. allies in East Asia, weakening Washington’s nati"&amp;"onal security, and exacerbating global climate change.")</f>
        <v>In 2016, the U.S. began exporting liquefied natural gas. Only eight years later, it has become the world’s largest exporter of LNG, shipping 86 million tons internationally in 2023. The growth of U.S. gas production facilitated the retirement of coal plants domestically, bolstered U.S. exports, offered a powerful foreign policy lever, and offered employment to more than 4 million Americans. Furthermore, it allowed the U.S. to fill energy shortfalls in Europe following Russia’s invasion of Ukraine, which compelled European nations to reduce their usage of Russian hydrocarbons and caused Moscow to shut down Nord Stream 1 (which was then destroyed in suspected sabotage). As a result, Europe required new sources of natural gas, and the United States was perfectly positioned to mitigate these shortages. From 2021 to 2022, U.S. LNG exports to Europe increased a remarkable 119%. However, this came at the cost of U.S. LNG exports to Asia, which fell by nearly 50%.
Asia is the largest importer of liquefied natural gas and leads the world in primary energy consumption. In 2022, the top three importers of LNG were comprised of two key allies and Washington’s chief international competitor: Japan, South Korea, and the world’s largest GHG emitter, China. All three of these countries consume vast amounts of energy and are highly reliant on fossil fuel energy imports. Although a growing capacity exists to fill these needs with renewable energy, such resources are currently unable to fully meet the requirements for balanced electricity grids and industrial applications. The U.S. is not the primary energy supplier in Asia, but U.S. LNG supply plays a critical role in reducing these nations’ emissions, as U.S. natural gas emits less greenhouse gas than coal, oil, and most other natural gas supply chains. In addition, U.S. natural gas provides energy security to allies, such as Japan and South Korea, in case of disruption or conflict. Ensuring access to sufficient supplies of low-emissions natural gas, accompanied by other innovative, low-carbon, and exportable energy technologies, is vital to American interests. Therefore, the uncertainty created by the Biden administration’s LNG pause risks reducing energy security for U.S. allies in East Asia, weakening Washington’s national security, and exacerbating global climate change.</v>
      </c>
      <c r="I257" s="1" t="str">
        <f>IFERROR(__xludf.DUMMYFUNCTION("""COMPUTED_VALUE"""),"Mooney Hillsdale")</f>
        <v>Mooney Hillsdale</v>
      </c>
      <c r="J257" s="1" t="str">
        <f>IFERROR(__xludf.DUMMYFUNCTION("""COMPUTED_VALUE"""),"Wave 4 (due TBD)")</f>
        <v>Wave 4 (due TBD)</v>
      </c>
      <c r="K257" s="5" t="str">
        <f>IFERROR(__xludf.DUMMYFUNCTION("""COMPUTED_VALUE"""),"https://drive.google.com/open?id=1y-B2cPZFs4CkrebX05uRLAdCKulmcImT")</f>
        <v>https://drive.google.com/open?id=1y-B2cPZFs4CkrebX05uRLAdCKulmcImT</v>
      </c>
      <c r="L257" s="3" t="s">
        <v>2</v>
      </c>
    </row>
    <row r="258">
      <c r="A258" s="4">
        <f>IFERROR(__xludf.DUMMYFUNCTION("""COMPUTED_VALUE"""),45726.40770859954)</f>
        <v>45726.40771</v>
      </c>
      <c r="B258" s="1" t="str">
        <f>IFERROR(__xludf.DUMMYFUNCTION("""COMPUTED_VALUE"""),"alexmooney256@gmail.com")</f>
        <v>alexmooney256@gmail.com</v>
      </c>
      <c r="C258" s="1" t="str">
        <f>IFERROR(__xludf.DUMMYFUNCTION("""COMPUTED_VALUE"""),"Sall, L. &amp; Gross, S. (2025). How do China and America think about the energy transition? Brookings Institution")</f>
        <v>Sall, L. &amp; Gross, S. (2025). How do China and America think about the energy transition? Brookings Institution</v>
      </c>
      <c r="D258" s="1" t="str">
        <f>IFERROR(__xludf.DUMMYFUNCTION("""COMPUTED_VALUE"""),"Louison Sall: Senior Research Assistant - Strobe Talbott Center for Security, Strategy, and Technology, Energy Security and Climate Initiative. Samantha Gross: Director - Energy Security and Climate Initiative, Fellow - Foreign Policy, Energy Security and"&amp;" Climate Initiative.")</f>
        <v>Louison Sall: Senior Research Assistant - Strobe Talbott Center for Security, Strategy, and Technology, Energy Security and Climate Initiative. Samantha Gross: Director - Energy Security and Climate Initiative, Fellow - Foreign Policy, Energy Security and Climate Initiative.</v>
      </c>
      <c r="E258" s="1" t="str">
        <f>IFERROR(__xludf.DUMMYFUNCTION("""COMPUTED_VALUE"""),"MIXED")</f>
        <v>MIXED</v>
      </c>
      <c r="F258" s="1" t="str">
        <f>IFERROR(__xludf.DUMMYFUNCTION("""COMPUTED_VALUE"""),"REM and Natural Gas")</f>
        <v>REM and Natural Gas</v>
      </c>
      <c r="G258" s="1" t="str">
        <f>IFERROR(__xludf.DUMMYFUNCTION("""COMPUTED_VALUE"""),"Provides information on China and U.S. energy mix and renewable systems which will be helpful for competition and cooperation arguments, LNG DA, REM DA, and offshoring. It also analyses climate policy in light of the Trump administration and analyses the "&amp;"IRA")</f>
        <v>Provides information on China and U.S. energy mix and renewable systems which will be helpful for competition and cooperation arguments, LNG DA, REM DA, and offshoring. It also analyses climate policy in light of the Trump administration and analyses the IRA</v>
      </c>
      <c r="H258" s="1" t="str">
        <f>IFERROR(__xludf.DUMMYFUNCTION("""COMPUTED_VALUE"""),"China and the United States are the world’s first- and second-largest emitters of greenhouse gases (GHGs), respectively. Both countries are huge with vast, but different, resource bases, leading them to have very different energy systems and respective ad"&amp;"vantages and disadvantages in the clean energy transition. This paper intends to explain those differences to foster a better understanding of how the two countries behave economically and geopolitically.")</f>
        <v>China and the United States are the world’s first- and second-largest emitters of greenhouse gases (GHGs), respectively. Both countries are huge with vast, but different, resource bases, leading them to have very different energy systems and respective advantages and disadvantages in the clean energy transition. This paper intends to explain those differences to foster a better understanding of how the two countries behave economically and geopolitically.</v>
      </c>
      <c r="I258" s="1" t="str">
        <f>IFERROR(__xludf.DUMMYFUNCTION("""COMPUTED_VALUE"""),"Mooney Hillsdale")</f>
        <v>Mooney Hillsdale</v>
      </c>
      <c r="J258" s="1" t="str">
        <f>IFERROR(__xludf.DUMMYFUNCTION("""COMPUTED_VALUE"""),"Wave 4 (due TBD)")</f>
        <v>Wave 4 (due TBD)</v>
      </c>
      <c r="K258" s="5" t="str">
        <f>IFERROR(__xludf.DUMMYFUNCTION("""COMPUTED_VALUE"""),"https://drive.google.com/open?id=1JejrlqAADyLmHrbD9OkTdYWK_JGdC35u")</f>
        <v>https://drive.google.com/open?id=1JejrlqAADyLmHrbD9OkTdYWK_JGdC35u</v>
      </c>
      <c r="L258" s="3" t="s">
        <v>2</v>
      </c>
    </row>
    <row r="259">
      <c r="A259" s="4">
        <f>IFERROR(__xludf.DUMMYFUNCTION("""COMPUTED_VALUE"""),45729.69696052083)</f>
        <v>45729.69696</v>
      </c>
      <c r="B259" s="1" t="str">
        <f>IFERROR(__xludf.DUMMYFUNCTION("""COMPUTED_VALUE"""),"21weikelk@gmail.com")</f>
        <v>21weikelk@gmail.com</v>
      </c>
      <c r="C259" s="1" t="str">
        <f>IFERROR(__xludf.DUMMYFUNCTION("""COMPUTED_VALUE"""),"DeAngelo, H., &amp; Curry, J. (2025, February 20). A Critique of the Apocalyptic Climate Narrative. SSRN. https://papers.ssrn.com/sol3/papers.cfm?abstract_id=5145310#paper-references-widget ")</f>
        <v>DeAngelo, H., &amp; Curry, J. (2025, February 20). A Critique of the Apocalyptic Climate Narrative. SSRN. https://papers.ssrn.com/sol3/papers.cfm?abstract_id=5145310#paper-references-widget </v>
      </c>
      <c r="D259" s="1" t="str">
        <f>IFERROR(__xludf.DUMMYFUNCTION("""COMPUTED_VALUE"""),"Harry DeAngelo is a professor at the University of Southern California, part of the Finance and Economics Department; Judith Curry is a professor at Georgia Institute of Technology")</f>
        <v>Harry DeAngelo is a professor at the University of Southern California, part of the Finance and Economics Department; Judith Curry is a professor at Georgia Institute of Technology</v>
      </c>
      <c r="E259" s="1" t="str">
        <f>IFERROR(__xludf.DUMMYFUNCTION("""COMPUTED_VALUE"""),"NEGATIVE")</f>
        <v>NEGATIVE</v>
      </c>
      <c r="F259" s="1" t="str">
        <f>IFERROR(__xludf.DUMMYFUNCTION("""COMPUTED_VALUE"""),"Warming Defense")</f>
        <v>Warming Defense</v>
      </c>
      <c r="G259" s="1" t="str">
        <f>IFERROR(__xludf.DUMMYFUNCTION("""COMPUTED_VALUE"""),"Provides further defense for negative to climate change doom scenarios. Discusses how the portrayal of climate change as an existential threat needing net-zero by mid to late century are out blown. Instead, such narratives have unintended consequences; sa"&amp;"ying that there is need to vastly limit fossil fuels ignores the massive consequences that would occur. Policies that urgently suppress fossil-fuel use will not only result in little to no impact on global warming itself but are harmful to finding viable "&amp;"alternatives. ")</f>
        <v>Provides further defense for negative to climate change doom scenarios. Discusses how the portrayal of climate change as an existential threat needing net-zero by mid to late century are out blown. Instead, such narratives have unintended consequences; saying that there is need to vastly limit fossil fuels ignores the massive consequences that would occur. Policies that urgently suppress fossil-fuel use will not only result in little to no impact on global warming itself but are harmful to finding viable alternatives. </v>
      </c>
      <c r="H259" s="1" t="str">
        <f>IFERROR(__xludf.DUMMYFUNCTION("""COMPUTED_VALUE"""),"The Apocalyptic climate narrative is a seriously misleading propaganda tool and a socially destructive guide for public policy. The narrative radically overstates the risks to humanity of continued global warming, which are manageable, not existential. It"&amp;" prescribes large-scale near-term suppression of fossil-fuel use, while failing to recognize the huge costs that such suppression would inflict on humans because fossil fuels are currently irreplaceable inputs for producing food (via ammonia-based fertili"&amp;"zer), steel, cement, and plastics. This paper details the flaws in the Apocalyptic narrative and articulates nine principles for sensible
U.S. policies on energy and global warming.")</f>
        <v>The Apocalyptic climate narrative is a seriously misleading propaganda tool and a socially destructive guide for public policy. The narrative radically overstates the risks to humanity of continued global warming, which are manageable, not existential. It prescribes large-scale near-term suppression of fossil-fuel use, while failing to recognize the huge costs that such suppression would inflict on humans because fossil fuels are currently irreplaceable inputs for producing food (via ammonia-based fertilizer), steel, cement, and plastics. This paper details the flaws in the Apocalyptic narrative and articulates nine principles for sensible
U.S. policies on energy and global warming.</v>
      </c>
      <c r="I259" s="1" t="str">
        <f>IFERROR(__xludf.DUMMYFUNCTION("""COMPUTED_VALUE"""),"Weikel UO")</f>
        <v>Weikel UO</v>
      </c>
      <c r="J259" s="1" t="str">
        <f>IFERROR(__xludf.DUMMYFUNCTION("""COMPUTED_VALUE"""),"Wave 4 (March 26)")</f>
        <v>Wave 4 (March 26)</v>
      </c>
      <c r="K259" s="5" t="str">
        <f>IFERROR(__xludf.DUMMYFUNCTION("""COMPUTED_VALUE"""),"https://drive.google.com/open?id=1OHYtkjhPkow7ia9SK03XUI0v5Z1wVk2L")</f>
        <v>https://drive.google.com/open?id=1OHYtkjhPkow7ia9SK03XUI0v5Z1wVk2L</v>
      </c>
      <c r="L259" s="3" t="s">
        <v>1</v>
      </c>
    </row>
    <row r="260">
      <c r="A260" s="4">
        <f>IFERROR(__xludf.DUMMYFUNCTION("""COMPUTED_VALUE"""),45737.56882458333)</f>
        <v>45737.56882</v>
      </c>
      <c r="B260" s="1" t="str">
        <f>IFERROR(__xludf.DUMMYFUNCTION("""COMPUTED_VALUE"""),"pnagy528@gmail.com")</f>
        <v>pnagy528@gmail.com</v>
      </c>
      <c r="C260" s="1" t="str">
        <f>IFERROR(__xludf.DUMMYFUNCTION("""COMPUTED_VALUE"""),"Abiry, R., Ferdinandusse, M., Ludwig, A., &amp; Nerlich, C. (2022). Climate change mitigation: How effective is green quantitative easing? (No. 2701). ECB Working Paper.")</f>
        <v>Abiry, R., Ferdinandusse, M., Ludwig, A., &amp; Nerlich, C. (2022). Climate change mitigation: How effective is green quantitative easing? (No. 2701). ECB Working Paper.</v>
      </c>
      <c r="D260" s="1" t="str">
        <f>IFERROR(__xludf.DUMMYFUNCTION("""COMPUTED_VALUE""")," Abiry - Postdoc in Economics, Goethe University; Ferdinandusse - lead economist in the Fiscal Policies Division of the European Central Bank; Ludwig - Professor of Economics, Goethe University; Nerlich - senior lead economist in the Fiscal Policies Divis"&amp;"ion of the European Central Bank")</f>
        <v> Abiry - Postdoc in Economics, Goethe University; Ferdinandusse - lead economist in the Fiscal Policies Division of the European Central Bank; Ludwig - Professor of Economics, Goethe University; Nerlich - senior lead economist in the Fiscal Policies Division of the European Central Bank</v>
      </c>
      <c r="E260" s="1" t="str">
        <f>IFERROR(__xludf.DUMMYFUNCTION("""COMPUTED_VALUE"""),"AFFIRMATIVE")</f>
        <v>AFFIRMATIVE</v>
      </c>
      <c r="F260" s="1" t="str">
        <f>IFERROR(__xludf.DUMMYFUNCTION("""COMPUTED_VALUE"""),"Green Finance CP")</f>
        <v>Green Finance CP</v>
      </c>
      <c r="G260" s="1" t="str">
        <f>IFERROR(__xludf.DUMMYFUNCTION("""COMPUTED_VALUE"""),"Argues green quantitative easing is not effective at addressing climate change; carbon tax is more effective than green quantitative easing. ")</f>
        <v>Argues green quantitative easing is not effective at addressing climate change; carbon tax is more effective than green quantitative easing. </v>
      </c>
      <c r="H260" s="1" t="str">
        <f>IFERROR(__xludf.DUMMYFUNCTION("""COMPUTED_VALUE"""),"We develop a two-sector incomplete markets integrated assessment model to analyze
the effectiveness of green quantitative easing (QE) in complementing fiscal policies for
climate change mitigation. We model green QE through an outstanding stock of private"&amp;"
assets held by a monetary authority and its portfolio allocation between a clean and a dirty
sector of production. Green QE leads to a partial crowding out of private capital in the
green sector and to a modest reduction of the global temperature by 0.04"&amp;" degrees of Celsius
until 2100. A moderate global carbon tax of 50 USD per tonne of carbon is 4 times more
effective.")</f>
        <v>We develop a two-sector incomplete markets integrated assessment model to analyze
the effectiveness of green quantitative easing (QE) in complementing fiscal policies for
climate change mitigation. We model green QE through an outstanding stock of private
assets held by a monetary authority and its portfolio allocation between a clean and a dirty
sector of production. Green QE leads to a partial crowding out of private capital in the
green sector and to a modest reduction of the global temperature by 0.04 degrees of Celsius
until 2100. A moderate global carbon tax of 50 USD per tonne of carbon is 4 times more
effective.</v>
      </c>
      <c r="I260" s="1" t="str">
        <f>IFERROR(__xludf.DUMMYFUNCTION("""COMPUTED_VALUE"""),"Nagy Oregon")</f>
        <v>Nagy Oregon</v>
      </c>
      <c r="J260" s="1" t="str">
        <f>IFERROR(__xludf.DUMMYFUNCTION("""COMPUTED_VALUE"""),"Wave 4 (March 26)")</f>
        <v>Wave 4 (March 26)</v>
      </c>
      <c r="K260" s="5" t="str">
        <f>IFERROR(__xludf.DUMMYFUNCTION("""COMPUTED_VALUE"""),"https://drive.google.com/open?id=14_2DWS0Hr8bmoZm-1V3JRIuJTOtifWoJ")</f>
        <v>https://drive.google.com/open?id=14_2DWS0Hr8bmoZm-1V3JRIuJTOtifWoJ</v>
      </c>
      <c r="L260" s="3" t="s">
        <v>1</v>
      </c>
    </row>
    <row r="261">
      <c r="A261" s="4">
        <f>IFERROR(__xludf.DUMMYFUNCTION("""COMPUTED_VALUE"""),45740.67662113426)</f>
        <v>45740.67662</v>
      </c>
      <c r="B261" s="1" t="str">
        <f>IFERROR(__xludf.DUMMYFUNCTION("""COMPUTED_VALUE"""),"ewantm930@gmail.com")</f>
        <v>ewantm930@gmail.com</v>
      </c>
      <c r="C261" s="1" t="str">
        <f>IFERROR(__xludf.DUMMYFUNCTION("""COMPUTED_VALUE"""),"Olale, E., Yiridoe, E.K., Ochuodho, T.O. et al (2019). The Effect of Carbon Tax on Farm Income: Evidence from a Canadian Province. Environ Resource Econ 74, 605–623. https://doi.org/10.1007/s10640-019-00337-8")</f>
        <v>Olale, E., Yiridoe, E.K., Ochuodho, T.O. et al (2019). The Effect of Carbon Tax on Farm Income: Evidence from a Canadian Province. Environ Resource Econ 74, 605–623. https://doi.org/10.1007/s10640-019-00337-8</v>
      </c>
      <c r="D261" s="1" t="str">
        <f>IFERROR(__xludf.DUMMYFUNCTION("""COMPUTED_VALUE"""),"Edward Olale: Department of Economics, University of New Brunswick, PO Box 4400, Fredericton, NB, E3B 5A3, Canada. Emmanuel K. Yiridoe: Department of Business and Social Sciences, Faculty of Agriculture, Dalhousie University, Truro, NS, B2N 5E3, Canada. T"&amp;"homas O. Ochuodho: Department of Forestry and Natural Resources, College of Agriculture, Food and Environment, University of Kentucky, 730 Rose Street, Lexington, KY, 40546-0073, USA. Van Lantz: Department of Economics, and Faculty of Forestry and Environ"&amp;"mental Management, University of New Brunswick, PO Box 4400, Fredericton, NB, E3B 5A3, Canada.")</f>
        <v>Edward Olale: Department of Economics, University of New Brunswick, PO Box 4400, Fredericton, NB, E3B 5A3, Canada. Emmanuel K. Yiridoe: Department of Business and Social Sciences, Faculty of Agriculture, Dalhousie University, Truro, NS, B2N 5E3, Canada. Thomas O. Ochuodho: Department of Forestry and Natural Resources, College of Agriculture, Food and Environment, University of Kentucky, 730 Rose Street, Lexington, KY, 40546-0073, USA. Van Lantz: Department of Economics, and Faculty of Forestry and Environmental Management, University of New Brunswick, PO Box 4400, Fredericton, NB, E3B 5A3, Canada.</v>
      </c>
      <c r="E261" s="1" t="str">
        <f>IFERROR(__xludf.DUMMYFUNCTION("""COMPUTED_VALUE"""),"NEGATIVE")</f>
        <v>NEGATIVE</v>
      </c>
      <c r="F261" s="1" t="str">
        <f>IFERROR(__xludf.DUMMYFUNCTION("""COMPUTED_VALUE"""),"Carbon Tax")</f>
        <v>Carbon Tax</v>
      </c>
      <c r="G261" s="1" t="str">
        <f>IFERROR(__xludf.DUMMYFUNCTION("""COMPUTED_VALUE"""),"Analysis of the BC CT that finds it hurts farmers particularly hard. ")</f>
        <v>Analysis of the BC CT that finds it hurts farmers particularly hard. </v>
      </c>
      <c r="H261" s="1" t="str">
        <f>IFERROR(__xludf.DUMMYFUNCTION("""COMPUTED_VALUE"""),"British Columbia (BC) introduced North America’s frst carbon tax in 2008. An analysis
of the impact of the BC carbon tax is of interest to various stakeholders in the jurisdiction where the tax was implemented. Other Canadian provinces and other countries"&amp;" contemplating a carbon tax policy are looking for insights on how to optimize potential positive and negative consequences. Given that government agri-environmental policies often emphasize farm-level support and environmental performance, there is inter"&amp;"est in understanding the farm-level impacts of the carbon tax. The efect of the BC carbon tax on farm income and related production cost variables is investigated. Panel data from 2000 to 2015 are analyzed using both tabular and econometric approaches of "&amp;"the diference-in-diference method. The results indicate that the carbon tax is associated with a decline in net farm income-to-receipts ratios ranging between 8 and 12 cents per dollar of farm receipts. The analysis for costs-to-receipts ratios suggest th"&amp;"at the carbon tax is directly related to higher commercial feed costs, farm labour costs, interest costs, and depreciation costs. Results of the regression analysis indicate that all the carbon tax efects are highly statistically signifcant. These fndings"&amp;" can inform policy discussions about carbon tax efects on farmers.")</f>
        <v>British Columbia (BC) introduced North America’s frst carbon tax in 2008. An analysis
of the impact of the BC carbon tax is of interest to various stakeholders in the jurisdiction where the tax was implemented. Other Canadian provinces and other countries contemplating a carbon tax policy are looking for insights on how to optimize potential positive and negative consequences. Given that government agri-environmental policies often emphasize farm-level support and environmental performance, there is interest in understanding the farm-level impacts of the carbon tax. The efect of the BC carbon tax on farm income and related production cost variables is investigated. Panel data from 2000 to 2015 are analyzed using both tabular and econometric approaches of the diference-in-diference method. The results indicate that the carbon tax is associated with a decline in net farm income-to-receipts ratios ranging between 8 and 12 cents per dollar of farm receipts. The analysis for costs-to-receipts ratios suggest that the carbon tax is directly related to higher commercial feed costs, farm labour costs, interest costs, and depreciation costs. Results of the regression analysis indicate that all the carbon tax efects are highly statistically signifcant. These fndings can inform policy discussions about carbon tax efects on farmers.</v>
      </c>
      <c r="I261" s="1" t="str">
        <f>IFERROR(__xludf.DUMMYFUNCTION("""COMPUTED_VALUE"""),"McNamara Hillsdale")</f>
        <v>McNamara Hillsdale</v>
      </c>
      <c r="J261" s="1" t="str">
        <f>IFERROR(__xludf.DUMMYFUNCTION("""COMPUTED_VALUE"""),"Wave 4 (March 26)")</f>
        <v>Wave 4 (March 26)</v>
      </c>
      <c r="K261" s="5" t="str">
        <f>IFERROR(__xludf.DUMMYFUNCTION("""COMPUTED_VALUE"""),"https://drive.google.com/open?id=1EzyG23TLt_3uogMWLRgzBSqzOlK6GfXs")</f>
        <v>https://drive.google.com/open?id=1EzyG23TLt_3uogMWLRgzBSqzOlK6GfXs</v>
      </c>
      <c r="L261" s="3" t="s">
        <v>2</v>
      </c>
    </row>
    <row r="262">
      <c r="A262" s="4">
        <f>IFERROR(__xludf.DUMMYFUNCTION("""COMPUTED_VALUE"""),45740.68186990741)</f>
        <v>45740.68187</v>
      </c>
      <c r="B262" s="1" t="str">
        <f>IFERROR(__xludf.DUMMYFUNCTION("""COMPUTED_VALUE"""),"ewantm930@gmail.com")</f>
        <v>ewantm930@gmail.com</v>
      </c>
      <c r="C262" s="1" t="str">
        <f>IFERROR(__xludf.DUMMYFUNCTION("""COMPUTED_VALUE"""),"Arcila, A., &amp; Baker, J. D. (2022). Evaluating carbon tax policy: A methodological reassessment of a natural experiment. Energy Economics, 111, 106053.")</f>
        <v>Arcila, A., &amp; Baker, J. D. (2022). Evaluating carbon tax policy: A methodological reassessment of a natural experiment. Energy Economics, 111, 106053.</v>
      </c>
      <c r="D262" s="1" t="str">
        <f>IFERROR(__xludf.DUMMYFUNCTION("""COMPUTED_VALUE"""),"Both A Arcila and JD Baker are Professors of Economics at the University of Waterloo in Waterloo ON, Canada.")</f>
        <v>Both A Arcila and JD Baker are Professors of Economics at the University of Waterloo in Waterloo ON, Canada.</v>
      </c>
      <c r="E262" s="1" t="str">
        <f>IFERROR(__xludf.DUMMYFUNCTION("""COMPUTED_VALUE"""),"NEGATIVE")</f>
        <v>NEGATIVE</v>
      </c>
      <c r="F262" s="1" t="str">
        <f>IFERROR(__xludf.DUMMYFUNCTION("""COMPUTED_VALUE"""),"Carbon Tax")</f>
        <v>Carbon Tax</v>
      </c>
      <c r="G262" s="1" t="str">
        <f>IFERROR(__xludf.DUMMYFUNCTION("""COMPUTED_VALUE"""),"An analysis of the BC CT found that it did not reduce emissions. ")</f>
        <v>An analysis of the BC CT found that it did not reduce emissions. </v>
      </c>
      <c r="H262" s="1" t="str">
        <f>IFERROR(__xludf.DUMMYFUNCTION("""COMPUTED_VALUE"""),"Heralded as the grand experiment in carbon tax policy, the Canadian province of British Columbia was on the forefront of North American environmental policy when it implemented a carbon tax in 2008. Despite being well-lauded in the literature, new data su"&amp;"ggests that CO2 emissions and fossil fuel consumption have in fact risen in recent years. We test the effectiveness of the policy change using a synthetic control analysis and find that, contrary to the theoretical intuition about carbon taxation, CO2 emi"&amp;"ssions and gasoline consumption rose in British Columbia relative to the synthetic control. However, we do find there to be a reduced share of economic activity in the energy industry following the policy change.")</f>
        <v>Heralded as the grand experiment in carbon tax policy, the Canadian province of British Columbia was on the forefront of North American environmental policy when it implemented a carbon tax in 2008. Despite being well-lauded in the literature, new data suggests that CO2 emissions and fossil fuel consumption have in fact risen in recent years. We test the effectiveness of the policy change using a synthetic control analysis and find that, contrary to the theoretical intuition about carbon taxation, CO2 emissions and gasoline consumption rose in British Columbia relative to the synthetic control. However, we do find there to be a reduced share of economic activity in the energy industry following the policy change.</v>
      </c>
      <c r="I262" s="1" t="str">
        <f>IFERROR(__xludf.DUMMYFUNCTION("""COMPUTED_VALUE"""),"McNamara Hillsdale")</f>
        <v>McNamara Hillsdale</v>
      </c>
      <c r="J262" s="1" t="str">
        <f>IFERROR(__xludf.DUMMYFUNCTION("""COMPUTED_VALUE"""),"Wave 4 (March 26)")</f>
        <v>Wave 4 (March 26)</v>
      </c>
      <c r="K262" s="5" t="str">
        <f>IFERROR(__xludf.DUMMYFUNCTION("""COMPUTED_VALUE"""),"https://drive.google.com/open?id=1h5j6SDlXvDPw0OcGyGXlo29tYglr5smD")</f>
        <v>https://drive.google.com/open?id=1h5j6SDlXvDPw0OcGyGXlo29tYglr5smD</v>
      </c>
      <c r="L262" s="3" t="s">
        <v>1</v>
      </c>
    </row>
    <row r="263">
      <c r="A263" s="4">
        <f>IFERROR(__xludf.DUMMYFUNCTION("""COMPUTED_VALUE"""),45741.52483922454)</f>
        <v>45741.52484</v>
      </c>
      <c r="B263" s="1" t="str">
        <f>IFERROR(__xludf.DUMMYFUNCTION("""COMPUTED_VALUE"""),"alexmooney256@gmail.com")</f>
        <v>alexmooney256@gmail.com</v>
      </c>
      <c r="C263" s="1" t="str">
        <f>IFERROR(__xludf.DUMMYFUNCTION("""COMPUTED_VALUE"""),"Cullen, J. (2023). Central Banks and Climate Change: Mission Impossible?. Journal of Financial Regulation, Volume 9, Issue 2, October 2023, Pages 174–209")</f>
        <v>Cullen, J. (2023). Central Banks and Climate Change: Mission Impossible?. Journal of Financial Regulation, Volume 9, Issue 2, October 2023, Pages 174–209</v>
      </c>
      <c r="D263" s="1" t="str">
        <f>IFERROR(__xludf.DUMMYFUNCTION("""COMPUTED_VALUE"""),"Cullen: Head of School of Law and Criminal Justice and Director of Business School, Edge Hill University. Law, PhD, University of Manchester.")</f>
        <v>Cullen: Head of School of Law and Criminal Justice and Director of Business School, Edge Hill University. Law, PhD, University of Manchester.</v>
      </c>
      <c r="E263" s="1" t="str">
        <f>IFERROR(__xludf.DUMMYFUNCTION("""COMPUTED_VALUE"""),"AFFIRMATIVE")</f>
        <v>AFFIRMATIVE</v>
      </c>
      <c r="F263" s="1" t="str">
        <f>IFERROR(__xludf.DUMMYFUNCTION("""COMPUTED_VALUE"""),"Green Finance CP")</f>
        <v>Green Finance CP</v>
      </c>
      <c r="G263" s="1" t="str">
        <f>IFERROR(__xludf.DUMMYFUNCTION("""COMPUTED_VALUE"""),"Point by point refutation of green finance CP including obstacles, casting doubt on solvency, and establishing disadvantages like wasting political and economic resources")</f>
        <v>Point by point refutation of green finance CP including obstacles, casting doubt on solvency, and establishing disadvantages like wasting political and economic resources</v>
      </c>
      <c r="H263" s="1" t="str">
        <f>IFERROR(__xludf.DUMMYFUNCTION("""COMPUTED_VALUE"""),"There is growing presumption that central banks have a significant role to play in addressing environmental challenges, especially climate change. This article explains, on the basis of both theoretical and empirical evidence, that attempting to use exist"&amp;"ing central bank tools and powers to tackle climate change will prove inadequate to tackle the issue(s) at hand. From a positivist perspective at least—and contrary to the claims made in the literature—the tools that central banks possess are insufficient"&amp;" to make any meaningful contribution to emissions reductions and prevent global heating. This is because many of the proposals made by academics, regulators, and legislators to expand the central bank toolkit to equip banks to tackle climate change suffer"&amp;" from deep conceptual and practical drawbacks when applied in this domain. These critical weaknesses mean that the policy prescriptions that flow from them will be of limited impact; this would likely be the case even if central banks were to obviate thei"&amp;"r mandates more explicitly and attempt to use such tools to address climate change directly. In so doing, they waste valuable political and economic capital that might be usefully deployed in tackling climate change. The obstacles to using these tools are"&amp;" not political or legal; they are inherent in their operation.")</f>
        <v>There is growing presumption that central banks have a significant role to play in addressing environmental challenges, especially climate change. This article explains, on the basis of both theoretical and empirical evidence, that attempting to use existing central bank tools and powers to tackle climate change will prove inadequate to tackle the issue(s) at hand. From a positivist perspective at least—and contrary to the claims made in the literature—the tools that central banks possess are insufficient to make any meaningful contribution to emissions reductions and prevent global heating. This is because many of the proposals made by academics, regulators, and legislators to expand the central bank toolkit to equip banks to tackle climate change suffer from deep conceptual and practical drawbacks when applied in this domain. These critical weaknesses mean that the policy prescriptions that flow from them will be of limited impact; this would likely be the case even if central banks were to obviate their mandates more explicitly and attempt to use such tools to address climate change directly. In so doing, they waste valuable political and economic capital that might be usefully deployed in tackling climate change. The obstacles to using these tools are not political or legal; they are inherent in their operation.</v>
      </c>
      <c r="I263" s="1" t="str">
        <f>IFERROR(__xludf.DUMMYFUNCTION("""COMPUTED_VALUE"""),"Mooney Hillsdale")</f>
        <v>Mooney Hillsdale</v>
      </c>
      <c r="J263" s="1" t="str">
        <f>IFERROR(__xludf.DUMMYFUNCTION("""COMPUTED_VALUE"""),"Wave 4 (March 26)")</f>
        <v>Wave 4 (March 26)</v>
      </c>
      <c r="K263" s="5" t="str">
        <f>IFERROR(__xludf.DUMMYFUNCTION("""COMPUTED_VALUE"""),"https://drive.google.com/open?id=1EzqqZXLijbLjtmS_O9hb3qYQhh9ugFtB")</f>
        <v>https://drive.google.com/open?id=1EzqqZXLijbLjtmS_O9hb3qYQhh9ugFtB</v>
      </c>
      <c r="L263" s="3" t="s">
        <v>1</v>
      </c>
    </row>
    <row r="264">
      <c r="A264" s="4">
        <f>IFERROR(__xludf.DUMMYFUNCTION("""COMPUTED_VALUE"""),45741.53244591435)</f>
        <v>45741.53245</v>
      </c>
      <c r="B264" s="1" t="str">
        <f>IFERROR(__xludf.DUMMYFUNCTION("""COMPUTED_VALUE"""),"alexmooney256@gmail.com")</f>
        <v>alexmooney256@gmail.com</v>
      </c>
      <c r="C264" s="1" t="str">
        <f>IFERROR(__xludf.DUMMYFUNCTION("""COMPUTED_VALUE"""),"Hopper, G. (2024). The NGFS’s New Climate Damage Function: A Flawed Analysis With Massive Economic Consequences. Bank Policy Institute.")</f>
        <v>Hopper, G. (2024). The NGFS’s New Climate Damage Function: A Flawed Analysis With Massive Economic Consequences. Bank Policy Institute.</v>
      </c>
      <c r="D264" s="1" t="str">
        <f>IFERROR(__xludf.DUMMYFUNCTION("""COMPUTED_VALUE"""),"Greg Hopper is a senior fellow at the Bank Policy Institute. He focuses on bank capital issues, climate change risk, digital asset risk, and risks associated with ML/AI.")</f>
        <v>Greg Hopper is a senior fellow at the Bank Policy Institute. He focuses on bank capital issues, climate change risk, digital asset risk, and risks associated with ML/AI.</v>
      </c>
      <c r="E264" s="1" t="str">
        <f>IFERROR(__xludf.DUMMYFUNCTION("""COMPUTED_VALUE"""),"MIXED")</f>
        <v>MIXED</v>
      </c>
      <c r="F264" s="1" t="str">
        <f>IFERROR(__xludf.DUMMYFUNCTION("""COMPUTED_VALUE"""),"Carbon Bubble DA/Green Finance CP")</f>
        <v>Carbon Bubble DA/Green Finance CP</v>
      </c>
      <c r="G264" s="1" t="str">
        <f>IFERROR(__xludf.DUMMYFUNCTION("""COMPUTED_VALUE"""),"Examines central bank climate policy especially in light of climate damage functions and contests the idea that we know which function is best and the real quantifiable impacts of climate change")</f>
        <v>Examines central bank climate policy especially in light of climate damage functions and contests the idea that we know which function is best and the real quantifiable impacts of climate change</v>
      </c>
      <c r="H264" s="1" t="str">
        <f>IFERROR(__xludf.DUMMYFUNCTION("""COMPUTED_VALUE"""),"NA")</f>
        <v>NA</v>
      </c>
      <c r="I264" s="1" t="str">
        <f>IFERROR(__xludf.DUMMYFUNCTION("""COMPUTED_VALUE"""),"Mooney Hillsdale")</f>
        <v>Mooney Hillsdale</v>
      </c>
      <c r="J264" s="1" t="str">
        <f>IFERROR(__xludf.DUMMYFUNCTION("""COMPUTED_VALUE"""),"Wave 4 (March 26)")</f>
        <v>Wave 4 (March 26)</v>
      </c>
      <c r="K264" s="5" t="str">
        <f>IFERROR(__xludf.DUMMYFUNCTION("""COMPUTED_VALUE"""),"https://drive.google.com/open?id=1YAdPliVy9kM4ad9C3g6EELsOvK18u-y7")</f>
        <v>https://drive.google.com/open?id=1YAdPliVy9kM4ad9C3g6EELsOvK18u-y7</v>
      </c>
      <c r="L264" s="3" t="s">
        <v>2</v>
      </c>
    </row>
    <row r="265">
      <c r="A265" s="4">
        <f>IFERROR(__xludf.DUMMYFUNCTION("""COMPUTED_VALUE"""),45741.75641677083)</f>
        <v>45741.75642</v>
      </c>
      <c r="B265" s="1" t="str">
        <f>IFERROR(__xludf.DUMMYFUNCTION("""COMPUTED_VALUE"""),"alexmooney256@gmail.com")</f>
        <v>alexmooney256@gmail.com</v>
      </c>
      <c r="C265" s="1" t="str">
        <f>IFERROR(__xludf.DUMMYFUNCTION("""COMPUTED_VALUE"""),"Alexandra E. Koch, Nicole K. Carle, and Gregory P. Noone, U.S. National Security and Climate Change, 56 Case W. Res. J. Int'l L. 31 (2024)")</f>
        <v>Alexandra E. Koch, Nicole K. Carle, and Gregory P. Noone, U.S. National Security and Climate Change, 56 Case W. Res. J. Int'l L. 31 (2024)</v>
      </c>
      <c r="D265" s="1" t="str">
        <f>IFERROR(__xludf.DUMMYFUNCTION("""COMPUTED_VALUE"""),"Koch, Policy Planning Co-Chair, Public International Law and Policy Group. Carle supports PILPG’s transitional justice work in Yemen and Ukraine, and previously managed its project on the intersection of documentation and technology. Noone, Ph.D., J.D., i"&amp;"s the Executive Director, and a Senior Peace Fellow, for PILPG.")</f>
        <v>Koch, Policy Planning Co-Chair, Public International Law and Policy Group. Carle supports PILPG’s transitional justice work in Yemen and Ukraine, and previously managed its project on the intersection of documentation and technology. Noone, Ph.D., J.D., is the Executive Director, and a Senior Peace Fellow, for PILPG.</v>
      </c>
      <c r="E265" s="1" t="str">
        <f>IFERROR(__xludf.DUMMYFUNCTION("""COMPUTED_VALUE"""),"AFFIRMATIVE")</f>
        <v>AFFIRMATIVE</v>
      </c>
      <c r="F265" s="1" t="str">
        <f>IFERROR(__xludf.DUMMYFUNCTION("""COMPUTED_VALUE"""),"Climate impacts")</f>
        <v>Climate impacts</v>
      </c>
      <c r="G265" s="1" t="str">
        <f>IFERROR(__xludf.DUMMYFUNCTION("""COMPUTED_VALUE"""),"global security impacts of climate change and defends against the natural gas and carbon bubble war/security impacts")</f>
        <v>global security impacts of climate change and defends against the natural gas and carbon bubble war/security impacts</v>
      </c>
      <c r="H265" s="1" t="str">
        <f>IFERROR(__xludf.DUMMYFUNCTION("""COMPUTED_VALUE"""),"As sea temperatures rise and natural disasters intensify, it is critical that the U.S. national security strategy actively include plans to account for global climate change and address the complex environmental and humanitarian challenges that parallel a"&amp;"nd are driven by rising temperatures, such as resource scarcity, forced displacement, and regional instability. Climate change acts as a “threat multiplier for instability” in some of the most volatile regions of the world and can contribute to rising ten"&amp;"sions even in historically stable regions. Climate change can also lead to increased vulnerability of military infrastructure and logistics, undermine military readiness, and demand a growing amount of military resources. This article discusses the import"&amp;"ant nexus between climate change and national security, analyzes how the last six U.S. presidential administrations perceived and acted upon climate change as a national security issue, and considers why and how the growing threat of climate change can be"&amp;" further addressed in future U.S. national security discussions and strategies.")</f>
        <v>As sea temperatures rise and natural disasters intensify, it is critical that the U.S. national security strategy actively include plans to account for global climate change and address the complex environmental and humanitarian challenges that parallel and are driven by rising temperatures, such as resource scarcity, forced displacement, and regional instability. Climate change acts as a “threat multiplier for instability” in some of the most volatile regions of the world and can contribute to rising tensions even in historically stable regions. Climate change can also lead to increased vulnerability of military infrastructure and logistics, undermine military readiness, and demand a growing amount of military resources. This article discusses the important nexus between climate change and national security, analyzes how the last six U.S. presidential administrations perceived and acted upon climate change as a national security issue, and considers why and how the growing threat of climate change can be further addressed in future U.S. national security discussions and strategies.</v>
      </c>
      <c r="I265" s="1" t="str">
        <f>IFERROR(__xludf.DUMMYFUNCTION("""COMPUTED_VALUE"""),"Mooney Hillsdale")</f>
        <v>Mooney Hillsdale</v>
      </c>
      <c r="J265" s="1" t="str">
        <f>IFERROR(__xludf.DUMMYFUNCTION("""COMPUTED_VALUE"""),"Wave 4 (March 26)")</f>
        <v>Wave 4 (March 26)</v>
      </c>
      <c r="K265" s="5" t="str">
        <f>IFERROR(__xludf.DUMMYFUNCTION("""COMPUTED_VALUE"""),"https://drive.google.com/open?id=10lgI4qvAR1xabZ1mFmN1e80RwWlnhTCe")</f>
        <v>https://drive.google.com/open?id=10lgI4qvAR1xabZ1mFmN1e80RwWlnhTCe</v>
      </c>
      <c r="L265" s="3" t="s">
        <v>2</v>
      </c>
    </row>
    <row r="266">
      <c r="A266" s="4">
        <f>IFERROR(__xludf.DUMMYFUNCTION("""COMPUTED_VALUE"""),45741.77113271991)</f>
        <v>45741.77113</v>
      </c>
      <c r="B266" s="1" t="str">
        <f>IFERROR(__xludf.DUMMYFUNCTION("""COMPUTED_VALUE"""),"nikolay.beenz@gmail.com")</f>
        <v>nikolay.beenz@gmail.com</v>
      </c>
      <c r="C266" s="1" t="str">
        <f>IFERROR(__xludf.DUMMYFUNCTION("""COMPUTED_VALUE"""),"Rhonheimer, M. (2020, February 7). Capitalism is Good for the Poor – and for the Environment. Austrian Institute Economics and Social Philosophy. https://austrian-institute.org/en/subjects/religion-and-politics/christian-social-teaching/capitalism-is-good"&amp;"-for-the-poor-and-for-the-environment/")</f>
        <v>Rhonheimer, M. (2020, February 7). Capitalism is Good for the Poor – and for the Environment. Austrian Institute Economics and Social Philosophy. https://austrian-institute.org/en/subjects/religion-and-politics/christian-social-teaching/capitalism-is-good-for-the-poor-and-for-the-environment/</v>
      </c>
      <c r="D266" s="1" t="str">
        <f>IFERROR(__xludf.DUMMYFUNCTION("""COMPUTED_VALUE"""),"Professor of Ethics and Political Philosophy at the Pontifical University of the Holy Cross in Rome.")</f>
        <v>Professor of Ethics and Political Philosophy at the Pontifical University of the Holy Cross in Rome.</v>
      </c>
      <c r="E266" s="1" t="str">
        <f>IFERROR(__xludf.DUMMYFUNCTION("""COMPUTED_VALUE"""),"AFFIRMATIVE")</f>
        <v>AFFIRMATIVE</v>
      </c>
      <c r="F266" s="1" t="str">
        <f>IFERROR(__xludf.DUMMYFUNCTION("""COMPUTED_VALUE"""),"Provides solid answers to Cap K")</f>
        <v>Provides solid answers to Cap K</v>
      </c>
      <c r="G266" s="1" t="str">
        <f>IFERROR(__xludf.DUMMYFUNCTION("""COMPUTED_VALUE"""),"The article develops a series of arguments for how capitalism has provided the means of fighting climate change, how socialism has lead to ecological disasters, and how the capitalistic profit motive combined with digitilization in the status quo is good "&amp;"and can solve climate change. ")</f>
        <v>The article develops a series of arguments for how capitalism has provided the means of fighting climate change, how socialism has lead to ecological disasters, and how the capitalistic profit motive combined with digitilization in the status quo is good and can solve climate change. </v>
      </c>
      <c r="H266" s="1"/>
      <c r="I266" s="1" t="str">
        <f>IFERROR(__xludf.DUMMYFUNCTION("""COMPUTED_VALUE"""),"Morgun University of Oregon")</f>
        <v>Morgun University of Oregon</v>
      </c>
      <c r="J266" s="1" t="str">
        <f>IFERROR(__xludf.DUMMYFUNCTION("""COMPUTED_VALUE"""),"Wave 4 (March 26)")</f>
        <v>Wave 4 (March 26)</v>
      </c>
      <c r="K266" s="5" t="str">
        <f>IFERROR(__xludf.DUMMYFUNCTION("""COMPUTED_VALUE"""),"https://drive.google.com/open?id=1-Vj2Iv8pmLxpE-qhfOWXQ2OJCmZ8Dil3")</f>
        <v>https://drive.google.com/open?id=1-Vj2Iv8pmLxpE-qhfOWXQ2OJCmZ8Dil3</v>
      </c>
      <c r="L266" s="3" t="s">
        <v>2</v>
      </c>
    </row>
    <row r="267">
      <c r="A267" s="4">
        <f>IFERROR(__xludf.DUMMYFUNCTION("""COMPUTED_VALUE"""),45741.77485103009)</f>
        <v>45741.77485</v>
      </c>
      <c r="B267" s="1" t="str">
        <f>IFERROR(__xludf.DUMMYFUNCTION("""COMPUTED_VALUE"""),"alexmooney256@gmail.com")</f>
        <v>alexmooney256@gmail.com</v>
      </c>
      <c r="C267" s="1" t="str">
        <f>IFERROR(__xludf.DUMMYFUNCTION("""COMPUTED_VALUE"""),"Shier, B. L. Stanish, J. (2017). The National Security Impacts of Climate Change. JOURNAL OF NATIONAL SECURITY LAW &amp; POLICY, Vol. 10(27), 27-44")</f>
        <v>Shier, B. L. Stanish, J. (2017). The National Security Impacts of Climate Change. JOURNAL OF NATIONAL SECURITY LAW &amp; POLICY, Vol. 10(27), 27-44</v>
      </c>
      <c r="D267" s="1" t="str">
        <f>IFERROR(__xludf.DUMMYFUNCTION("""COMPUTED_VALUE"""),"Shier leads the Environmental and Energy Study Institute’s (EESI) Energy and Climate Program.")</f>
        <v>Shier leads the Environmental and Energy Study Institute’s (EESI) Energy and Climate Program.</v>
      </c>
      <c r="E267" s="1" t="str">
        <f>IFERROR(__xludf.DUMMYFUNCTION("""COMPUTED_VALUE"""),"AFFIRMATIVE")</f>
        <v>AFFIRMATIVE</v>
      </c>
      <c r="F267" s="1" t="str">
        <f>IFERROR(__xludf.DUMMYFUNCTION("""COMPUTED_VALUE"""),"Climate Impacts")</f>
        <v>Climate Impacts</v>
      </c>
      <c r="G267" s="1" t="str">
        <f>IFERROR(__xludf.DUMMYFUNCTION("""COMPUTED_VALUE"""),"Analyses the global and especially U.S. security threat posed by climate change and explains the lack of readiness to adapt. Helpful for countering DA security impacts on natural gas and carbon bubble")</f>
        <v>Analyses the global and especially U.S. security threat posed by climate change and explains the lack of readiness to adapt. Helpful for countering DA security impacts on natural gas and carbon bubble</v>
      </c>
      <c r="H267" s="1" t="str">
        <f>IFERROR(__xludf.DUMMYFUNCTION("""COMPUTED_VALUE"""),"NA")</f>
        <v>NA</v>
      </c>
      <c r="I267" s="1" t="str">
        <f>IFERROR(__xludf.DUMMYFUNCTION("""COMPUTED_VALUE"""),"Mooney Hillsdale")</f>
        <v>Mooney Hillsdale</v>
      </c>
      <c r="J267" s="1" t="str">
        <f>IFERROR(__xludf.DUMMYFUNCTION("""COMPUTED_VALUE"""),"Wave 4 (March 26)")</f>
        <v>Wave 4 (March 26)</v>
      </c>
      <c r="K267" s="5" t="str">
        <f>IFERROR(__xludf.DUMMYFUNCTION("""COMPUTED_VALUE"""),"https://drive.google.com/open?id=1_4_KIVHm6oymnJ_eYBwPdjGhRdiD9qwg")</f>
        <v>https://drive.google.com/open?id=1_4_KIVHm6oymnJ_eYBwPdjGhRdiD9qwg</v>
      </c>
      <c r="L267" s="3" t="s">
        <v>2</v>
      </c>
    </row>
    <row r="268">
      <c r="A268" s="4">
        <f>IFERROR(__xludf.DUMMYFUNCTION("""COMPUTED_VALUE"""),45742.387952881945)</f>
        <v>45742.38795</v>
      </c>
      <c r="B268" s="1" t="str">
        <f>IFERROR(__xludf.DUMMYFUNCTION("""COMPUTED_VALUE"""),"brownb3141592@gmail.com")</f>
        <v>brownb3141592@gmail.com</v>
      </c>
      <c r="C268" s="1" t="str">
        <f>IFERROR(__xludf.DUMMYFUNCTION("""COMPUTED_VALUE"""),"Jordán, F. (2025). Varieties of capitalism and environmental performance. Ecological Economics, 227, 108362. https://doi.org/10.1016/j.ecolecon.2024.108362")</f>
        <v>Jordán, F. (2025). Varieties of capitalism and environmental performance. Ecological Economics, 227, 108362. https://doi.org/10.1016/j.ecolecon.2024.108362</v>
      </c>
      <c r="D268" s="1" t="str">
        <f>IFERROR(__xludf.DUMMYFUNCTION("""COMPUTED_VALUE"""),"I am an assistant professor in the Department of Economics and the Institute for Sustainable Development at Pontificia Universidad Católica de Chile. My research focuses on the political economy of sustainable development. I study the impact of policies a"&amp;"nd institutions on economic prosperity and environmental sustainability at the local and national levels, as well as the impact of environmental conditions on human populations. I am particularly interested in how indigenous cultural and institutional bac"&amp;"kgrounds interact with Western institutions to shape the economy, natural environment, and culture of rural communities in Latin America. Visit my research page to read about the projects I am currently working on.")</f>
        <v>I am an assistant professor in the Department of Economics and the Institute for Sustainable Development at Pontificia Universidad Católica de Chile. My research focuses on the political economy of sustainable development. I study the impact of policies and institutions on economic prosperity and environmental sustainability at the local and national levels, as well as the impact of environmental conditions on human populations. I am particularly interested in how indigenous cultural and institutional backgrounds interact with Western institutions to shape the economy, natural environment, and culture of rural communities in Latin America. Visit my research page to read about the projects I am currently working on.</v>
      </c>
      <c r="E268" s="1" t="str">
        <f>IFERROR(__xludf.DUMMYFUNCTION("""COMPUTED_VALUE"""),"AFFIRMATIVE")</f>
        <v>AFFIRMATIVE</v>
      </c>
      <c r="F268" s="1" t="str">
        <f>IFERROR(__xludf.DUMMYFUNCTION("""COMPUTED_VALUE"""),"Cap K, Degrowth K")</f>
        <v>Cap K, Degrowth K</v>
      </c>
      <c r="G268" s="1" t="str">
        <f>IFERROR(__xludf.DUMMYFUNCTION("""COMPUTED_VALUE"""),"Provides empirical evidence suggesting that capitalist systems are compatible with environmentalism. The article also suggests that capitalist governments may even be capable of successfully decoupling economic growth from warming.")</f>
        <v>Provides empirical evidence suggesting that capitalist systems are compatible with environmentalism. The article also suggests that capitalist governments may even be capable of successfully decoupling economic growth from warming.</v>
      </c>
      <c r="H268" s="1" t="str">
        <f>IFERROR(__xludf.DUMMYFUNCTION("""COMPUTED_VALUE"""),"This paper investigates the role of institutions in decoupling economic growth from environmental impacts, employing the Varieties of Capitalism framework. It finds that Northern European countries have achieved more significant decoupling than other West"&amp;"ern OECD countries since the 1980s, as measured by the Ecological Footprint of Consumption. Differences in corporatism, as well as the amount and type of public social expenditures, are hypothesized to play a crucial role in explaining this pattern. Multi"&amp;"ple regression analysis reveals that larger proportions of GDP allocated to universal social expenditures — not contingent on work status — are robustly associated with stronger decoupling. This suggests that the considerable investments of Northern Europ"&amp;"ean countries in universal social benefits have been key for effectively reducing the environmental impacts associated with economic growth.")</f>
        <v>This paper investigates the role of institutions in decoupling economic growth from environmental impacts, employing the Varieties of Capitalism framework. It finds that Northern European countries have achieved more significant decoupling than other Western OECD countries since the 1980s, as measured by the Ecological Footprint of Consumption. Differences in corporatism, as well as the amount and type of public social expenditures, are hypothesized to play a crucial role in explaining this pattern. Multiple regression analysis reveals that larger proportions of GDP allocated to universal social expenditures — not contingent on work status — are robustly associated with stronger decoupling. This suggests that the considerable investments of Northern European countries in universal social benefits have been key for effectively reducing the environmental impacts associated with economic growth.</v>
      </c>
      <c r="I268" s="1" t="str">
        <f>IFERROR(__xludf.DUMMYFUNCTION("""COMPUTED_VALUE"""),"Brown Hillsdale")</f>
        <v>Brown Hillsdale</v>
      </c>
      <c r="J268" s="1" t="str">
        <f>IFERROR(__xludf.DUMMYFUNCTION("""COMPUTED_VALUE"""),"Wave 4 (March 26)")</f>
        <v>Wave 4 (March 26)</v>
      </c>
      <c r="K268" s="5" t="str">
        <f>IFERROR(__xludf.DUMMYFUNCTION("""COMPUTED_VALUE"""),"https://drive.google.com/open?id=145r5jwC1A-f-Nbru4oZ4C3V_C94_CWSs")</f>
        <v>https://drive.google.com/open?id=145r5jwC1A-f-Nbru4oZ4C3V_C94_CWSs</v>
      </c>
      <c r="L268" s="3" t="s">
        <v>1</v>
      </c>
    </row>
    <row r="269">
      <c r="A269" s="4">
        <f>IFERROR(__xludf.DUMMYFUNCTION("""COMPUTED_VALUE"""),45742.39202153935)</f>
        <v>45742.39202</v>
      </c>
      <c r="B269" s="1" t="str">
        <f>IFERROR(__xludf.DUMMYFUNCTION("""COMPUTED_VALUE"""),"brownb3141592@gmail.com")</f>
        <v>brownb3141592@gmail.com</v>
      </c>
      <c r="C269" s="1" t="str">
        <f>IFERROR(__xludf.DUMMYFUNCTION("""COMPUTED_VALUE"""),"Steinbacher, K., &amp; Schönfelder, S. (2022). Revitalizing varieties of capitalism for sustainability transitions: The role of state capitalism. Renewable and Sustainable Energy Reviews, 167, 112743. https://doi.org/10.1016/j.rser.2022.112743")</f>
        <v>Steinbacher, K., &amp; Schönfelder, S. (2022). Revitalizing varieties of capitalism for sustainability transitions: The role of state capitalism. Renewable and Sustainable Energy Reviews, 167, 112743. https://doi.org/10.1016/j.rser.2022.112743</v>
      </c>
      <c r="D269" s="1" t="str">
        <f>IFERROR(__xludf.DUMMYFUNCTION("""COMPUTED_VALUE"""),"Department of Interdisciplinary Studies of Culture, Norwegian University of Science and Technology")</f>
        <v>Department of Interdisciplinary Studies of Culture, Norwegian University of Science and Technology</v>
      </c>
      <c r="E269" s="1" t="str">
        <f>IFERROR(__xludf.DUMMYFUNCTION("""COMPUTED_VALUE"""),"AFFIRMATIVE")</f>
        <v>AFFIRMATIVE</v>
      </c>
      <c r="F269" s="1" t="str">
        <f>IFERROR(__xludf.DUMMYFUNCTION("""COMPUTED_VALUE"""),"Cap K")</f>
        <v>Cap K</v>
      </c>
      <c r="G269" s="1" t="str">
        <f>IFERROR(__xludf.DUMMYFUNCTION("""COMPUTED_VALUE"""),"Argues that ""Varieties of capitalism"" are capable of solving the climate crisis")</f>
        <v>Argues that "Varieties of capitalism" are capable of solving the climate crisis</v>
      </c>
      <c r="H269" s="1" t="str">
        <f>IFERROR(__xludf.DUMMYFUNCTION("""COMPUTED_VALUE"""),"Despite recent calls for more critical views of capitalism in sustainability transitions research, a starting point for transitions researchers is lacking. Recognizing the potential of the varieties of capitalism (VoC) approach to bring capitalism deeper "&amp;"into transitions research, this paper constitutes a review of VoC in the sustainability transitions literature, returning to its theoretical foundations in coordination and strategic interactions and their relations to innovation and socio-technical syste"&amp;"m transformation. The review finds the most common application of VoC to be in the energy dimension of transition, nevertheless revealing a shallow engagement with the approach that reinforces the need for conceptual development for sustainability transit"&amp;"ions purposes. Potential areas for development relate to the enrichment of core VoC concepts – coordination, strategic interaction and comparative institutional advantage – and to competing growth and sustainability objectives of existing (and beyond) cap"&amp;"italist systems. There is a further need to expand the scope of VoC application beyond ideal-form national archetypes to infiltrate across scales and levels, as well as to go beyond the traditional range of sectors to shed light on understudied actors, ro"&amp;"les and power relations for transitions. Despite typical delegation to political economy, VoC is highly interdisciplinary, applicable to common frameworks used in transition studies and amenable to social scientists interested in power and agency in trans"&amp;"itions. As a strategy for moving VoC forward in transitions research, it is recommended to place it at the core of studies taking institutions, stakeholder interactions and sector coordination in their contextual situations seriously.")</f>
        <v>Despite recent calls for more critical views of capitalism in sustainability transitions research, a starting point for transitions researchers is lacking. Recognizing the potential of the varieties of capitalism (VoC) approach to bring capitalism deeper into transitions research, this paper constitutes a review of VoC in the sustainability transitions literature, returning to its theoretical foundations in coordination and strategic interactions and their relations to innovation and socio-technical system transformation. The review finds the most common application of VoC to be in the energy dimension of transition, nevertheless revealing a shallow engagement with the approach that reinforces the need for conceptual development for sustainability transitions purposes. Potential areas for development relate to the enrichment of core VoC concepts – coordination, strategic interaction and comparative institutional advantage – and to competing growth and sustainability objectives of existing (and beyond) capitalist systems. There is a further need to expand the scope of VoC application beyond ideal-form national archetypes to infiltrate across scales and levels, as well as to go beyond the traditional range of sectors to shed light on understudied actors, roles and power relations for transitions. Despite typical delegation to political economy, VoC is highly interdisciplinary, applicable to common frameworks used in transition studies and amenable to social scientists interested in power and agency in transitions. As a strategy for moving VoC forward in transitions research, it is recommended to place it at the core of studies taking institutions, stakeholder interactions and sector coordination in their contextual situations seriously.</v>
      </c>
      <c r="I269" s="1" t="str">
        <f>IFERROR(__xludf.DUMMYFUNCTION("""COMPUTED_VALUE"""),"Brown Hillsdale")</f>
        <v>Brown Hillsdale</v>
      </c>
      <c r="J269" s="1" t="str">
        <f>IFERROR(__xludf.DUMMYFUNCTION("""COMPUTED_VALUE"""),"Wave 4 (March 26)")</f>
        <v>Wave 4 (March 26)</v>
      </c>
      <c r="K269" s="5" t="str">
        <f>IFERROR(__xludf.DUMMYFUNCTION("""COMPUTED_VALUE"""),"https://drive.google.com/open?id=1L1A166S8qOVve3Yal_S0L93rLt1RCqrq")</f>
        <v>https://drive.google.com/open?id=1L1A166S8qOVve3Yal_S0L93rLt1RCqrq</v>
      </c>
      <c r="L269" s="3" t="s">
        <v>2</v>
      </c>
    </row>
    <row r="270">
      <c r="A270" s="4">
        <f>IFERROR(__xludf.DUMMYFUNCTION("""COMPUTED_VALUE"""),45742.40911491898)</f>
        <v>45742.40911</v>
      </c>
      <c r="B270" s="1" t="str">
        <f>IFERROR(__xludf.DUMMYFUNCTION("""COMPUTED_VALUE"""),"nikolay.beenz@gmail.com")</f>
        <v>nikolay.beenz@gmail.com</v>
      </c>
      <c r="C270" s="1" t="str">
        <f>IFERROR(__xludf.DUMMYFUNCTION("""COMPUTED_VALUE"""),"Budolfson, M. (2021). Arguments for Well-Regulated Capitalism, and Implications for Global Ethics, Food, Environment, Climate Change, and Beyond. Ethics &amp; International Affairs, 35(1), 83–98. doi:10.1017/S0892679421000083")</f>
        <v>Budolfson, M. (2021). Arguments for Well-Regulated Capitalism, and Implications for Global Ethics, Food, Environment, Climate Change, and Beyond. Ethics &amp; International Affairs, 35(1), 83–98. doi:10.1017/S0892679421000083</v>
      </c>
      <c r="D270" s="1" t="str">
        <f>IFERROR(__xludf.DUMMYFUNCTION("""COMPUTED_VALUE"""),"Mark Budolfson received his PhD from Princeton, and is currently a postdoctoral fellow at the McCoy Family Center for Ethics in Society at Stanford. His current research includes work on environmental philosophy, the legitimacy of international institutio"&amp;"ns, and general issues at the interface of ethics and public policy, especially in connection with collective action problems such as climate change and other dilemmas that arise in connection with common resources and public goods.")</f>
        <v>Mark Budolfson received his PhD from Princeton, and is currently a postdoctoral fellow at the McCoy Family Center for Ethics in Society at Stanford. His current research includes work on environmental philosophy, the legitimacy of international institutions, and general issues at the interface of ethics and public policy, especially in connection with collective action problems such as climate change and other dilemmas that arise in connection with common resources and public goods.</v>
      </c>
      <c r="E270" s="1" t="str">
        <f>IFERROR(__xludf.DUMMYFUNCTION("""COMPUTED_VALUE"""),"AFFIRMATIVE")</f>
        <v>AFFIRMATIVE</v>
      </c>
      <c r="F270" s="1" t="str">
        <f>IFERROR(__xludf.DUMMYFUNCTION("""COMPUTED_VALUE"""),"Provides answers to cap K and degrowth K.")</f>
        <v>Provides answers to cap K and degrowth K.</v>
      </c>
      <c r="G270" s="1" t="str">
        <f>IFERROR(__xludf.DUMMYFUNCTION("""COMPUTED_VALUE"""),"This article argues that capitalism is not intrinsically the problem, and that market based solutions are key to addressing climate change. It argues that based on human proposerity based indicator outcomes (health, human wellbeing, etc.) a well regulated"&amp;" capitalism is superior over socialism or a degrowth model. ")</f>
        <v>This article argues that capitalism is not intrinsically the problem, and that market based solutions are key to addressing climate change. It argues that based on human proposerity based indicator outcomes (health, human wellbeing, etc.) a well regulated capitalism is superior over socialism or a degrowth model. </v>
      </c>
      <c r="H270" s="1" t="str">
        <f>IFERROR(__xludf.DUMMYFUNCTION("""COMPUTED_VALUE"""),"Discourse on food ethics often advocates the anti-capitalist idea that we need less capitalism, less growth, and less globalization if we want to make the world a better and more equitable place. This idea is also familiar from much discourse in global et"&amp;"hics, environment, and political theory, more generally. However, many experts argue that this anti-capitalist idea is not supported by reason and argument, and is actually wrong. As part of the roundtable, “Ethics and the Future of the Global Food System"&amp;",” the main contribution of this essay is to explain the structure of the leading arguments against this anti-capitalist idea, and in favor of well-regulated capitalism. I initially focus on general arguments for and against globalized capitalism. I then "&amp;"turn to implications for the food, environment, climate change, and beyond. Finally, I clarify the important kernel of truth in the critique of neoliberalism familiar from food ethics, political theory, and beyond—as well as the limitations of that critiq"&amp;"ue.")</f>
        <v>Discourse on food ethics often advocates the anti-capitalist idea that we need less capitalism, less growth, and less globalization if we want to make the world a better and more equitable place. This idea is also familiar from much discourse in global ethics, environment, and political theory, more generally. However, many experts argue that this anti-capitalist idea is not supported by reason and argument, and is actually wrong. As part of the roundtable, “Ethics and the Future of the Global Food System,” the main contribution of this essay is to explain the structure of the leading arguments against this anti-capitalist idea, and in favor of well-regulated capitalism. I initially focus on general arguments for and against globalized capitalism. I then turn to implications for the food, environment, climate change, and beyond. Finally, I clarify the important kernel of truth in the critique of neoliberalism familiar from food ethics, political theory, and beyond—as well as the limitations of that critique.</v>
      </c>
      <c r="I270" s="1" t="str">
        <f>IFERROR(__xludf.DUMMYFUNCTION("""COMPUTED_VALUE"""),"Morgun Oregon")</f>
        <v>Morgun Oregon</v>
      </c>
      <c r="J270" s="1" t="str">
        <f>IFERROR(__xludf.DUMMYFUNCTION("""COMPUTED_VALUE"""),"Wave 4 (March 26)")</f>
        <v>Wave 4 (March 26)</v>
      </c>
      <c r="K270" s="5" t="str">
        <f>IFERROR(__xludf.DUMMYFUNCTION("""COMPUTED_VALUE"""),"https://drive.google.com/open?id=1NEABb1DKjqMFZtjQEwlqRXsDy_lO_eP0")</f>
        <v>https://drive.google.com/open?id=1NEABb1DKjqMFZtjQEwlqRXsDy_lO_eP0</v>
      </c>
      <c r="L270" s="3" t="s">
        <v>1</v>
      </c>
    </row>
    <row r="271">
      <c r="A271" s="4">
        <f>IFERROR(__xludf.DUMMYFUNCTION("""COMPUTED_VALUE"""),45742.47243446759)</f>
        <v>45742.47243</v>
      </c>
      <c r="B271" s="1" t="str">
        <f>IFERROR(__xludf.DUMMYFUNCTION("""COMPUTED_VALUE"""),"alexmooney256@gmail.com")</f>
        <v>alexmooney256@gmail.com</v>
      </c>
      <c r="C271" s="1" t="str">
        <f>IFERROR(__xludf.DUMMYFUNCTION("""COMPUTED_VALUE"""),"Parry, I. W. H., Black, S., &amp; Vernon-Lin, N. (2021). Still not getting energy prices right: A global and country update of fossil fuel subsidies. IMF Working Papers, 2021(236). https://doi.org/10.5089/9781513595405.001")</f>
        <v>Parry, I. W. H., Black, S., &amp; Vernon-Lin, N. (2021). Still not getting energy prices right: A global and country update of fossil fuel subsidies. IMF Working Papers, 2021(236). https://doi.org/10.5089/9781513595405.001</v>
      </c>
      <c r="D271" s="1" t="str">
        <f>IFERROR(__xludf.DUMMYFUNCTION("""COMPUTED_VALUE"""),"Ian Parry is the Principal Environmental Fiscal Policy Expert in the Climate Policy Division of the IMF’s Fiscal Affairs Department. He worked at Resources for the Future from 1995 to 2010 where he held the Allen Kneese Chair in Environmental Economics. H"&amp;"e has a PhD in economics from the University of Chicago in 1993. Parry’s research focuses on country-level analysis of comprehensive mitigation strategies and their broader fiscal and economic impacts. Parry also quantifies the broader environmental (e.g."&amp;", local air pollution) costs of fossil fuel use at the country level and efficient levels of fuel prices needed to reflect supply and environmental costs.")</f>
        <v>Ian Parry is the Principal Environmental Fiscal Policy Expert in the Climate Policy Division of the IMF’s Fiscal Affairs Department. He worked at Resources for the Future from 1995 to 2010 where he held the Allen Kneese Chair in Environmental Economics. He has a PhD in economics from the University of Chicago in 1993. Parry’s research focuses on country-level analysis of comprehensive mitigation strategies and their broader fiscal and economic impacts. Parry also quantifies the broader environmental (e.g., local air pollution) costs of fossil fuel use at the country level and efficient levels of fuel prices needed to reflect supply and environmental costs.</v>
      </c>
      <c r="E271" s="1" t="str">
        <f>IFERROR(__xludf.DUMMYFUNCTION("""COMPUTED_VALUE"""),"MIXED")</f>
        <v>MIXED</v>
      </c>
      <c r="F271" s="1" t="str">
        <f>IFERROR(__xludf.DUMMYFUNCTION("""COMPUTED_VALUE"""),"Remove Fossil Fuel Subsidies")</f>
        <v>Remove Fossil Fuel Subsidies</v>
      </c>
      <c r="G271" s="1" t="str">
        <f>IFERROR(__xludf.DUMMYFUNCTION("""COMPUTED_VALUE"""),"Provides specifics about the amount and allocation of Fossil Fuel Subsidies in the U.S. and globally")</f>
        <v>Provides specifics about the amount and allocation of Fossil Fuel Subsidies in the U.S. and globally</v>
      </c>
      <c r="H271" s="1" t="str">
        <f>IFERROR(__xludf.DUMMYFUNCTION("""COMPUTED_VALUE"""),"This paper provides a comprehensive global, regional, and country-level update of: (i) efficient fossil fuel prices to reflect supply and environmental costs; and (ii) subsidies implied by charging below efficient fuel prices. The methodology improves ove"&amp;"r previous IMF analyses through more sophisticated estimation of costs and impacts of reform. Globally, fossil fuel subsidies were $5.9 trillion in 2020 or about 6.8 percent of GDP and are expected to rise to 7.4 percent of GDP in 2025. Just 8 percent of "&amp;"the 2020 subsidy reflects undercharging for supply costs (explicit subsidies) and 92 percent for undercharging for environmental costs and foregone consumption taxes (implicit subsidies). Efficient fuel pricing in 2025 would reduce global carbon dioxide g"&amp;"lobal carbon dioxide emissions 36 percent below baseline levels, which is in line with keeping global warming to 1.5 degrees, while raising revenues worth 3.8 percent of global GDP and preventing 0.9 million local air pollution deaths per year. Accompanyi"&amp;"ng spreadsheets provide detailed results for 191 countries.")</f>
        <v>This paper provides a comprehensive global, regional, and country-level update of: (i) efficient fossil fuel prices to reflect supply and environmental costs; and (ii) subsidies implied by charging below efficient fuel prices. The methodology improves over previous IMF analyses through more sophisticated estimation of costs and impacts of reform. Globally, fossil fuel subsidies were $5.9 trillion in 2020 or about 6.8 percent of GDP and are expected to rise to 7.4 percent of GDP in 2025. Just 8 percent of the 2020 subsidy reflects undercharging for supply costs (explicit subsidies) and 92 percent for undercharging for environmental costs and foregone consumption taxes (implicit subsidies). Efficient fuel pricing in 2025 would reduce global carbon dioxide global carbon dioxide emissions 36 percent below baseline levels, which is in line with keeping global warming to 1.5 degrees, while raising revenues worth 3.8 percent of global GDP and preventing 0.9 million local air pollution deaths per year. Accompanying spreadsheets provide detailed results for 191 countries.</v>
      </c>
      <c r="I271" s="1" t="str">
        <f>IFERROR(__xludf.DUMMYFUNCTION("""COMPUTED_VALUE"""),"Scroggins Hillsdale")</f>
        <v>Scroggins Hillsdale</v>
      </c>
      <c r="J271" s="1" t="str">
        <f>IFERROR(__xludf.DUMMYFUNCTION("""COMPUTED_VALUE"""),"Wave 4 (March 26)")</f>
        <v>Wave 4 (March 26)</v>
      </c>
      <c r="K271" s="5" t="str">
        <f>IFERROR(__xludf.DUMMYFUNCTION("""COMPUTED_VALUE"""),"https://drive.google.com/open?id=1gl2Xe16o5ZVHUq0OFim-C98d7UM7pG34")</f>
        <v>https://drive.google.com/open?id=1gl2Xe16o5ZVHUq0OFim-C98d7UM7pG34</v>
      </c>
      <c r="L271" s="3" t="s">
        <v>2</v>
      </c>
    </row>
    <row r="272">
      <c r="A272" s="4">
        <f>IFERROR(__xludf.DUMMYFUNCTION("""COMPUTED_VALUE"""),45742.47950972222)</f>
        <v>45742.47951</v>
      </c>
      <c r="B272" s="1" t="str">
        <f>IFERROR(__xludf.DUMMYFUNCTION("""COMPUTED_VALUE"""),"alexmooney256@gmail.com")</f>
        <v>alexmooney256@gmail.com</v>
      </c>
      <c r="C272" s="1" t="str">
        <f>IFERROR(__xludf.DUMMYFUNCTION("""COMPUTED_VALUE"""),"Carattini, S., Carvalho, M., &amp; Fankhauser, S. (2018). Overcoming public resistance to carbon taxes. Wiley interdisciplinary reviews. Climate change, 9(5), e531.")</f>
        <v>Carattini, S., Carvalho, M., &amp; Fankhauser, S. (2018). Overcoming public resistance to carbon taxes. Wiley interdisciplinary reviews. Climate change, 9(5), e531.</v>
      </c>
      <c r="D272" s="1" t="str">
        <f>IFERROR(__xludf.DUMMYFUNCTION("""COMPUTED_VALUE"""),"Assistant Professor in the Department of Economics at Georgia State University, Andrew Young School of Policy Studies. obtained a PhD in Economics from the University of Barcelona and a MSc in Economics from the University of Lausanne. He also holds a BA "&amp;"in Socio-economics from the University of Geneva.")</f>
        <v>Assistant Professor in the Department of Economics at Georgia State University, Andrew Young School of Policy Studies. obtained a PhD in Economics from the University of Barcelona and a MSc in Economics from the University of Lausanne. He also holds a BA in Socio-economics from the University of Geneva.</v>
      </c>
      <c r="E272" s="1" t="str">
        <f>IFERROR(__xludf.DUMMYFUNCTION("""COMPUTED_VALUE"""),"MIXED")</f>
        <v>MIXED</v>
      </c>
      <c r="F272" s="1" t="str">
        <f>IFERROR(__xludf.DUMMYFUNCTION("""COMPUTED_VALUE"""),"Carbon Tax")</f>
        <v>Carbon Tax</v>
      </c>
      <c r="G272" s="1" t="str">
        <f>IFERROR(__xludf.DUMMYFUNCTION("""COMPUTED_VALUE"""),"Carbon Taxes have good potential but historically face intense public opposition. The article talks about incentives of and incentives against public support and creates design suggestions for carbon tax policies.")</f>
        <v>Carbon Taxes have good potential but historically face intense public opposition. The article talks about incentives of and incentives against public support and creates design suggestions for carbon tax policies.</v>
      </c>
      <c r="H272" s="1" t="str">
        <f>IFERROR(__xludf.DUMMYFUNCTION("""COMPUTED_VALUE"""),"Carbon taxes represent a cost‐effective way to steer the economy toward a greener future. In the real world, their application has however been limited. In this paper, we address one of the main obstacles to carbon taxes: public opposition. We identify dr"&amp;"ivers of and barriers to public support, and, under the form of stylized facts, provide general lessons on the acceptability of carbon taxes. We derive our lessons from a growing literature, as well as from a combination of policy “failures” and “successe"&amp;"s.” Based on our stylized facts, we formulate a set of suggestions concerning the design of carbon taxes. We consider the use of trial periods, tax escalators, environmental earmarking, lump‐sum transfers, tax rebates, and advanced communication strategie"&amp;"s, among others. This paper contributes to the policy debate about carbon taxes, hopefully leading to more success stories and fewer policy failures.")</f>
        <v>Carbon taxes represent a cost‐effective way to steer the economy toward a greener future. In the real world, their application has however been limited. In this paper, we address one of the main obstacles to carbon taxes: public opposition. We identify drivers of and barriers to public support, and, under the form of stylized facts, provide general lessons on the acceptability of carbon taxes. We derive our lessons from a growing literature, as well as from a combination of policy “failures” and “successes.” Based on our stylized facts, we formulate a set of suggestions concerning the design of carbon taxes. We consider the use of trial periods, tax escalators, environmental earmarking, lump‐sum transfers, tax rebates, and advanced communication strategies, among others. This paper contributes to the policy debate about carbon taxes, hopefully leading to more success stories and fewer policy failures.</v>
      </c>
      <c r="I272" s="1" t="str">
        <f>IFERROR(__xludf.DUMMYFUNCTION("""COMPUTED_VALUE"""),"Rapoport Hillsdale")</f>
        <v>Rapoport Hillsdale</v>
      </c>
      <c r="J272" s="1" t="str">
        <f>IFERROR(__xludf.DUMMYFUNCTION("""COMPUTED_VALUE"""),"Wave 4 (March 26)")</f>
        <v>Wave 4 (March 26)</v>
      </c>
      <c r="K272" s="5" t="str">
        <f>IFERROR(__xludf.DUMMYFUNCTION("""COMPUTED_VALUE"""),"https://drive.google.com/open?id=1viomBrzK8Kp8NQ0Z8P1asuLr4DVCUImc")</f>
        <v>https://drive.google.com/open?id=1viomBrzK8Kp8NQ0Z8P1asuLr4DVCUImc</v>
      </c>
      <c r="L272" s="3" t="s">
        <v>1</v>
      </c>
    </row>
    <row r="273">
      <c r="A273" s="4">
        <f>IFERROR(__xludf.DUMMYFUNCTION("""COMPUTED_VALUE"""),45742.69128042824)</f>
        <v>45742.69128</v>
      </c>
      <c r="B273" s="1" t="str">
        <f>IFERROR(__xludf.DUMMYFUNCTION("""COMPUTED_VALUE"""),"alexmooney256@gmail.com")</f>
        <v>alexmooney256@gmail.com</v>
      </c>
      <c r="C273" s="1" t="str">
        <f>IFERROR(__xludf.DUMMYFUNCTION("""COMPUTED_VALUE"""),"U.S. Energy Information Administration. (2018). Federal financial interventions and subsidies in energy in fiscal years 2016–2017. https://www.eia.gov/analysis/requests/subsidy/pdf/subsidy.pdf")</f>
        <v>U.S. Energy Information Administration. (2018). Federal financial interventions and subsidies in energy in fiscal years 2016–2017. https://www.eia.gov/analysis/requests/subsidy/pdf/subsidy.pdf</v>
      </c>
      <c r="D273" s="1" t="str">
        <f>IFERROR(__xludf.DUMMYFUNCTION("""COMPUTED_VALUE"""),"The U.S. Energy Informa�on Administra�on (EIA), the sta�s�cal and analy�cal agency within the U.S. Department of Energy (DOE), prepared this report.")</f>
        <v>The U.S. Energy Informa�on Administra�on (EIA), the sta�s�cal and analy�cal agency within the U.S. Department of Energy (DOE), prepared this report.</v>
      </c>
      <c r="E273" s="1" t="str">
        <f>IFERROR(__xludf.DUMMYFUNCTION("""COMPUTED_VALUE"""),"MIXED")</f>
        <v>MIXED</v>
      </c>
      <c r="F273" s="1" t="str">
        <f>IFERROR(__xludf.DUMMYFUNCTION("""COMPUTED_VALUE"""),"Remove Fossil Fuel Subsidies")</f>
        <v>Remove Fossil Fuel Subsidies</v>
      </c>
      <c r="G273" s="1" t="str">
        <f>IFERROR(__xludf.DUMMYFUNCTION("""COMPUTED_VALUE"""),"Details energy subsidies and support during 2016-2022, especially amount and type which can be used on case or for DAs etc.")</f>
        <v>Details energy subsidies and support during 2016-2022, especially amount and type which can be used on case or for DAs etc.</v>
      </c>
      <c r="H273" s="1" t="str">
        <f>IFERROR(__xludf.DUMMYFUNCTION("""COMPUTED_VALUE"""),"NA")</f>
        <v>NA</v>
      </c>
      <c r="I273" s="1" t="str">
        <f>IFERROR(__xludf.DUMMYFUNCTION("""COMPUTED_VALUE"""),"den Hollander Hillsdale")</f>
        <v>den Hollander Hillsdale</v>
      </c>
      <c r="J273" s="1" t="str">
        <f>IFERROR(__xludf.DUMMYFUNCTION("""COMPUTED_VALUE"""),"Wave 4 (March 26)")</f>
        <v>Wave 4 (March 26)</v>
      </c>
      <c r="K273" s="5" t="str">
        <f>IFERROR(__xludf.DUMMYFUNCTION("""COMPUTED_VALUE"""),"https://drive.google.com/open?id=1XdMLSbkvb9hgu3G-a4oLa1yYske3pGFI")</f>
        <v>https://drive.google.com/open?id=1XdMLSbkvb9hgu3G-a4oLa1yYske3pGFI</v>
      </c>
      <c r="L273" s="3" t="s">
        <v>2</v>
      </c>
    </row>
    <row r="274">
      <c r="A274" s="4">
        <f>IFERROR(__xludf.DUMMYFUNCTION("""COMPUTED_VALUE"""),45742.76908341435)</f>
        <v>45742.76908</v>
      </c>
      <c r="B274" s="1" t="str">
        <f>IFERROR(__xludf.DUMMYFUNCTION("""COMPUTED_VALUE"""),"vahetovmasian@gmail.com")</f>
        <v>vahetovmasian@gmail.com</v>
      </c>
      <c r="C274" s="1" t="str">
        <f>IFERROR(__xludf.DUMMYFUNCTION("""COMPUTED_VALUE"""),"Mildenberger, M., &amp; Stokes, L. C. (2020, September 24). The trouble with carbon pricing. Boston Review. https://www.bostonreview.net/articles/trouble-carbon-pricing/")</f>
        <v>Mildenberger, M., &amp; Stokes, L. C. (2020, September 24). The trouble with carbon pricing. Boston Review. https://www.bostonreview.net/articles/trouble-carbon-pricing/</v>
      </c>
      <c r="D274" s="1" t="str">
        <f>IFERROR(__xludf.DUMMYFUNCTION("""COMPUTED_VALUE"""),"Leah C. Stokes is an assistant professor at the University of California Santa Barbara, the author of Short Circuiting Policy, a contributor to the essay collection All We Can Save, and co-host of the podcast “A Matter of Degrees.” Matto Mildenberger is a"&amp;"n assistant professor at the University of California Santa Barbara and the author of Carbon Captured: How Business and Labor Control Climate Politics.")</f>
        <v>Leah C. Stokes is an assistant professor at the University of California Santa Barbara, the author of Short Circuiting Policy, a contributor to the essay collection All We Can Save, and co-host of the podcast “A Matter of Degrees.” Matto Mildenberger is an assistant professor at the University of California Santa Barbara and the author of Carbon Captured: How Business and Labor Control Climate Politics.</v>
      </c>
      <c r="E274" s="1" t="str">
        <f>IFERROR(__xludf.DUMMYFUNCTION("""COMPUTED_VALUE"""),"NEGATIVE")</f>
        <v>NEGATIVE</v>
      </c>
      <c r="F274" s="1" t="str">
        <f>IFERROR(__xludf.DUMMYFUNCTION("""COMPUTED_VALUE"""),"Argues against Carbon pricing as a whole (so negative for Carbon tax and Emissions Trading)")</f>
        <v>Argues against Carbon pricing as a whole (so negative for Carbon tax and Emissions Trading)</v>
      </c>
      <c r="G274" s="1" t="str">
        <f>IFERROR(__xludf.DUMMYFUNCTION("""COMPUTED_VALUE"""),"The primary arguments in this document are that carbon pricing is not effective at dealing with climate change. In the real world pricing is not nearly strict enough to function and is to lobbied against to work. They then propose alternative actions main"&amp;"ly investing into green technology. The article will primarily provide to the library a negative targeting the solvency of the carbon pricing affs, this is done through real world examples mainly.")</f>
        <v>The primary arguments in this document are that carbon pricing is not effective at dealing with climate change. In the real world pricing is not nearly strict enough to function and is to lobbied against to work. They then propose alternative actions mainly investing into green technology. The article will primarily provide to the library a negative targeting the solvency of the carbon pricing affs, this is done through real world examples mainly.</v>
      </c>
      <c r="H274" s="1"/>
      <c r="I274" s="1" t="str">
        <f>IFERROR(__xludf.DUMMYFUNCTION("""COMPUTED_VALUE"""),"Tovmasian CSUN")</f>
        <v>Tovmasian CSUN</v>
      </c>
      <c r="J274" s="1" t="str">
        <f>IFERROR(__xludf.DUMMYFUNCTION("""COMPUTED_VALUE"""),"Wave 4 (March 26)")</f>
        <v>Wave 4 (March 26)</v>
      </c>
      <c r="K274" s="5" t="str">
        <f>IFERROR(__xludf.DUMMYFUNCTION("""COMPUTED_VALUE"""),"https://drive.google.com/open?id=1AtTveYeq3jYE__nXj7R-xG7qlzGVE_E6")</f>
        <v>https://drive.google.com/open?id=1AtTveYeq3jYE__nXj7R-xG7qlzGVE_E6</v>
      </c>
      <c r="L274" s="3" t="s">
        <v>2</v>
      </c>
    </row>
    <row r="275">
      <c r="A275" s="4">
        <f>IFERROR(__xludf.DUMMYFUNCTION("""COMPUTED_VALUE"""),45742.86972099537)</f>
        <v>45742.86972</v>
      </c>
      <c r="B275" s="1" t="str">
        <f>IFERROR(__xludf.DUMMYFUNCTION("""COMPUTED_VALUE"""),"21weikelk@gmail.com")</f>
        <v>21weikelk@gmail.com</v>
      </c>
      <c r="C275" s="1" t="str">
        <f>IFERROR(__xludf.DUMMYFUNCTION("""COMPUTED_VALUE"""),"Gatdula, R. (2024, November 8). The Loss of Indispensable Consolations: The Rise of Protectionism and its Role in Global Conflicts. Georgetown Security Studies Review. https://georgetownsecuritystudiesreview.org/2024/11/08/the-loss-of-indispensable-consol"&amp;"ations-the-rise-of-protectionism-and-its-role-in-global-conflicts/ ")</f>
        <v>Gatdula, R. (2024, November 8). The Loss of Indispensable Consolations: The Rise of Protectionism and its Role in Global Conflicts. Georgetown Security Studies Review. https://georgetownsecuritystudiesreview.org/2024/11/08/the-loss-of-indispensable-consolations-the-rise-of-protectionism-and-its-role-in-global-conflicts/ </v>
      </c>
      <c r="D275" s="1" t="str">
        <f>IFERROR(__xludf.DUMMYFUNCTION("""COMPUTED_VALUE"""),"Defense Economist | M.A. Security Studies Candidate from Georgetown University")</f>
        <v>Defense Economist | M.A. Security Studies Candidate from Georgetown University</v>
      </c>
      <c r="E275" s="1" t="str">
        <f>IFERROR(__xludf.DUMMYFUNCTION("""COMPUTED_VALUE"""),"NEGATIVE")</f>
        <v>NEGATIVE</v>
      </c>
      <c r="F275" s="1" t="str">
        <f>IFERROR(__xludf.DUMMYFUNCTION("""COMPUTED_VALUE"""),"Carbon Tax")</f>
        <v>Carbon Tax</v>
      </c>
      <c r="G275" s="1" t="str">
        <f>IFERROR(__xludf.DUMMYFUNCTION("""COMPUTED_VALUE"""),"Provides negative ground for market based policies that have negative impacts on international trade. Specifically, talks about how economic sactions have led to heightened tensions and aggravate geopolitical tensions. Provides historical examples of how "&amp;"protectionist policies have escalated tensions.")</f>
        <v>Provides negative ground for market based policies that have negative impacts on international trade. Specifically, talks about how economic sactions have led to heightened tensions and aggravate geopolitical tensions. Provides historical examples of how protectionist policies have escalated tensions.</v>
      </c>
      <c r="H275" s="1"/>
      <c r="I275" s="1" t="str">
        <f>IFERROR(__xludf.DUMMYFUNCTION("""COMPUTED_VALUE"""),"Weikel UO")</f>
        <v>Weikel UO</v>
      </c>
      <c r="J275" s="1" t="str">
        <f>IFERROR(__xludf.DUMMYFUNCTION("""COMPUTED_VALUE"""),"Wave 4 (March 26)")</f>
        <v>Wave 4 (March 26)</v>
      </c>
      <c r="K275" s="5" t="str">
        <f>IFERROR(__xludf.DUMMYFUNCTION("""COMPUTED_VALUE"""),"https://drive.google.com/open?id=1xkd5vs6tKjfNDn4NOfqGMOe0TA0WjOJf")</f>
        <v>https://drive.google.com/open?id=1xkd5vs6tKjfNDn4NOfqGMOe0TA0WjOJf</v>
      </c>
      <c r="L275" s="3" t="s">
        <v>2</v>
      </c>
    </row>
    <row r="276">
      <c r="A276" s="4">
        <f>IFERROR(__xludf.DUMMYFUNCTION("""COMPUTED_VALUE"""),45742.87645964121)</f>
        <v>45742.87646</v>
      </c>
      <c r="B276" s="1" t="str">
        <f>IFERROR(__xludf.DUMMYFUNCTION("""COMPUTED_VALUE"""),"21weikelk@gmail.com")</f>
        <v>21weikelk@gmail.com</v>
      </c>
      <c r="C276" s="1" t="str">
        <f>IFERROR(__xludf.DUMMYFUNCTION("""COMPUTED_VALUE"""),"Beaumont-Smith, G. (2024, July 30). Are Carbon Border Adjustments a Dream Climate Policy or Protectionist Nightmare?. Cato.org. https://www.cato.org/policy-analysis/are-carbon-border-adjustments-dream-climate-policy-or-protectionist-nightmare#eus-emission"&amp;"s-trading-system ")</f>
        <v>Beaumont-Smith, G. (2024, July 30). Are Carbon Border Adjustments a Dream Climate Policy or Protectionist Nightmare?. Cato.org. https://www.cato.org/policy-analysis/are-carbon-border-adjustments-dream-climate-policy-or-protectionist-nightmare#eus-emissions-trading-system </v>
      </c>
      <c r="D276" s="1" t="str">
        <f>IFERROR(__xludf.DUMMYFUNCTION("""COMPUTED_VALUE"""),"GABRIELLA BEAUMONT-SMITH is a former policy analyst at the Cato Institute’s Herbert A. Stiefel Center for Trade Policy Studies.")</f>
        <v>GABRIELLA BEAUMONT-SMITH is a former policy analyst at the Cato Institute’s Herbert A. Stiefel Center for Trade Policy Studies.</v>
      </c>
      <c r="E276" s="1" t="str">
        <f>IFERROR(__xludf.DUMMYFUNCTION("""COMPUTED_VALUE"""),"NEGATIVE")</f>
        <v>NEGATIVE</v>
      </c>
      <c r="F276" s="1" t="str">
        <f>IFERROR(__xludf.DUMMYFUNCTION("""COMPUTED_VALUE"""),"Carbon Tax")</f>
        <v>Carbon Tax</v>
      </c>
      <c r="G276" s="1" t="str">
        <f>IFERROR(__xludf.DUMMYFUNCTION("""COMPUTED_VALUE"""),"Discusses what a carbon border adjustment is and the only actual example in real life of one is in the EU. Talks about practical problems with CBAM such as violating WTO commitments, invites free riding, and disproportionately affects consumers. Advocates"&amp;" for paths and policies that induce freer trade.")</f>
        <v>Discusses what a carbon border adjustment is and the only actual example in real life of one is in the EU. Talks about practical problems with CBAM such as violating WTO commitments, invites free riding, and disproportionately affects consumers. Advocates for paths and policies that induce freer trade.</v>
      </c>
      <c r="H276" s="1" t="str">
        <f>IFERROR(__xludf.DUMMYFUNCTION("""COMPUTED_VALUE"""),"Climate change is an increasingly important
consideration in trade policy. For instance, many
countries try to limit their greenhouse gas
emissions through domestic carbon pricing and
regulatory schemes, and many trade agreements now include
environmental"&amp;" provisions. In addition, some policymakers are
looking to extend carbon pricing schemes to the international
level. This has led to proposals for a carbon border adjustment
mechanism (CBAM), which would tax the carbon emissions
connected to the imported "&amp;"goods at the same rate as the
carbon tax applied to domestic products.
The only example of a currently adopted CBAM is in the
European Union, which began phasing in the policy in October
2023. Several members of the United States Congress have
introduced "&amp;"legislation proposing border adjustments and
carbon tariffs, but none have become law. However, neither
the European Union’s CBAM nor any of the US proposals
should be considered a true CBAM, and it is unclear whether
they would comply with World Trade Or"&amp;"ganization rules.
While the idea of a government using taxes to protect the
environment is established in economic theory, there are
reasons to doubt that a CBAM would be effective at reducing
emissions to mitigate climate change. Instead, these policies
"&amp;"are likely to create uneven distributional effects on
consumers as well as multiple pathways for rent seeking,
cronyism, and protectionism.
Instead of imposing more taxes on trade, policymakers
should pursue freer trade, which would provide opportunities
"&amp;"to tackle excessive greenhouse gas emissions. Centuries of
evidence have established that trade spurs economic growth,
which contributes to cleaner environments. Therefore, the
best path toward a cleaner and healthier world is to engage in
freer trade and"&amp;" avoid enriching special interests through
protectionism.")</f>
        <v>Climate change is an increasingly important
consideration in trade policy. For instance, many
countries try to limit their greenhouse gas
emissions through domestic carbon pricing and
regulatory schemes, and many trade agreements now include
environmental provisions. In addition, some policymakers are
looking to extend carbon pricing schemes to the international
level. This has led to proposals for a carbon border adjustment
mechanism (CBAM), which would tax the carbon emissions
connected to the imported goods at the same rate as the
carbon tax applied to domestic products.
The only example of a currently adopted CBAM is in the
European Union, which began phasing in the policy in October
2023. Several members of the United States Congress have
introduced legislation proposing border adjustments and
carbon tariffs, but none have become law. However, neither
the European Union’s CBAM nor any of the US proposals
should be considered a true CBAM, and it is unclear whether
they would comply with World Trade Organization rules.
While the idea of a government using taxes to protect the
environment is established in economic theory, there are
reasons to doubt that a CBAM would be effective at reducing
emissions to mitigate climate change. Instead, these policies
are likely to create uneven distributional effects on
consumers as well as multiple pathways for rent seeking,
cronyism, and protectionism.
Instead of imposing more taxes on trade, policymakers
should pursue freer trade, which would provide opportunities
to tackle excessive greenhouse gas emissions. Centuries of
evidence have established that trade spurs economic growth,
which contributes to cleaner environments. Therefore, the
best path toward a cleaner and healthier world is to engage in
freer trade and avoid enriching special interests through
protectionism.</v>
      </c>
      <c r="I276" s="1" t="str">
        <f>IFERROR(__xludf.DUMMYFUNCTION("""COMPUTED_VALUE"""),"Weikel UO")</f>
        <v>Weikel UO</v>
      </c>
      <c r="J276" s="1" t="str">
        <f>IFERROR(__xludf.DUMMYFUNCTION("""COMPUTED_VALUE"""),"Wave 4 (March 26)")</f>
        <v>Wave 4 (March 26)</v>
      </c>
      <c r="K276" s="5" t="str">
        <f>IFERROR(__xludf.DUMMYFUNCTION("""COMPUTED_VALUE"""),"https://drive.google.com/open?id=1vVbbezW0fDR-TFA1oH9Ux6AzEqPuT-vg")</f>
        <v>https://drive.google.com/open?id=1vVbbezW0fDR-TFA1oH9Ux6AzEqPuT-vg</v>
      </c>
      <c r="L276" s="3" t="s">
        <v>1</v>
      </c>
    </row>
    <row r="277">
      <c r="A277" s="4">
        <f>IFERROR(__xludf.DUMMYFUNCTION("""COMPUTED_VALUE"""),45742.87725236111)</f>
        <v>45742.87725</v>
      </c>
      <c r="B277" s="1" t="str">
        <f>IFERROR(__xludf.DUMMYFUNCTION("""COMPUTED_VALUE"""),"schmittkyla@gmail.com")</f>
        <v>schmittkyla@gmail.com</v>
      </c>
      <c r="C277" s="1" t="str">
        <f>IFERROR(__xludf.DUMMYFUNCTION("""COMPUTED_VALUE"""),"Dean, J. (2016). The Anamorphic Politics of Climate Change. *E-Flux Journal*, 69. https://www.e-flux.com/journal/69/60586/the-anamorphic-politics-of-climate-change/#:~:text=Jodi%20Dean,-Issue%20%2369&amp;text=Politics%20in%20the%20Anthropocene%20is,for%20patt"&amp;"erns%20and%20estimate%20probabilities")</f>
        <v>Dean, J. (2016). The Anamorphic Politics of Climate Change. *E-Flux Journal*, 69. https://www.e-flux.com/journal/69/60586/the-anamorphic-politics-of-climate-change/#:~:text=Jodi%20Dean,-Issue%20%2369&amp;text=Politics%20in%20the%20Anthropocene%20is,for%20patterns%20and%20estimate%20probabilities</v>
      </c>
      <c r="D277" s="1" t="str">
        <f>IFERROR(__xludf.DUMMYFUNCTION("""COMPUTED_VALUE"""),"Jodi Dean is an American political theorist and professor in the Political Science department at Hobart and William Smith Colleges in New York state. She held the Donald R. Harter ’39 Professorship of the Humanities and Social Sciences from 2013 to 2018. ")</f>
        <v>Jodi Dean is an American political theorist and professor in the Political Science department at Hobart and William Smith Colleges in New York state. She held the Donald R. Harter ’39 Professorship of the Humanities and Social Sciences from 2013 to 2018. </v>
      </c>
      <c r="E277" s="1" t="str">
        <f>IFERROR(__xludf.DUMMYFUNCTION("""COMPUTED_VALUE"""),"AFFIRMATIVE")</f>
        <v>AFFIRMATIVE</v>
      </c>
      <c r="F277" s="1" t="str">
        <f>IFERROR(__xludf.DUMMYFUNCTION("""COMPUTED_VALUE"""),"A2 Cap K")</f>
        <v>A2 Cap K</v>
      </c>
      <c r="G277" s="1" t="str">
        <f>IFERROR(__xludf.DUMMYFUNCTION("""COMPUTED_VALUE"""),"Jodi Dean’s ""The Anamorphic Politics of Climate Change"" argues that climate politics in the Anthropocene is shaped by fragmented perspectives, where evidence appears as extremes but remains elusive in totality. She critiques the Left’s oscillation betwe"&amp;"en moralism and catastrophe, seeing enjoyment in the paralysis of action. Dean connects this to Lacanian jouissance, where pleasure is derived from destruction and knowing, mirroring capitalism’s relentless drive. She proposes an anamorphic perspective—vi"&amp;"ewing climate change from the side, focusing on infrastructures like fossil fuel industries and cultural institutions to mobilize collective action and counteract capitalist power.")</f>
        <v>Jodi Dean’s "The Anamorphic Politics of Climate Change" argues that climate politics in the Anthropocene is shaped by fragmented perspectives, where evidence appears as extremes but remains elusive in totality. She critiques the Left’s oscillation between moralism and catastrophe, seeing enjoyment in the paralysis of action. Dean connects this to Lacanian jouissance, where pleasure is derived from destruction and knowing, mirroring capitalism’s relentless drive. She proposes an anamorphic perspective—viewing climate change from the side, focusing on infrastructures like fossil fuel industries and cultural institutions to mobilize collective action and counteract capitalist power.</v>
      </c>
      <c r="H277" s="1"/>
      <c r="I277" s="1" t="str">
        <f>IFERROR(__xludf.DUMMYFUNCTION("""COMPUTED_VALUE"""),"Schmitt UO")</f>
        <v>Schmitt UO</v>
      </c>
      <c r="J277" s="1" t="str">
        <f>IFERROR(__xludf.DUMMYFUNCTION("""COMPUTED_VALUE"""),"Wave 4 (March 26)")</f>
        <v>Wave 4 (March 26)</v>
      </c>
      <c r="K277" s="5" t="str">
        <f>IFERROR(__xludf.DUMMYFUNCTION("""COMPUTED_VALUE"""),"https://drive.google.com/open?id=1xsGbYrX11rjFxyDiAfn0kTuU-R2L4YGH")</f>
        <v>https://drive.google.com/open?id=1xsGbYrX11rjFxyDiAfn0kTuU-R2L4YGH</v>
      </c>
      <c r="L277" s="3" t="s">
        <v>1</v>
      </c>
    </row>
    <row r="278">
      <c r="A278" s="4">
        <f>IFERROR(__xludf.DUMMYFUNCTION("""COMPUTED_VALUE"""),45742.883457233795)</f>
        <v>45742.88346</v>
      </c>
      <c r="B278" s="1" t="str">
        <f>IFERROR(__xludf.DUMMYFUNCTION("""COMPUTED_VALUE"""),"schmittkyla@gmail.com")</f>
        <v>schmittkyla@gmail.com</v>
      </c>
      <c r="C278" s="1" t="str">
        <f>IFERROR(__xludf.DUMMYFUNCTION("""COMPUTED_VALUE"""),"Heron, K. &amp; Dean, J. (2020). Revolution or Ruin. *e-Flux Journal*, 110. https://www.e-flux.com/journal/110/335242/revolution-or-ruin/")</f>
        <v>Heron, K. &amp; Dean, J. (2020). Revolution or Ruin. *e-Flux Journal*, 110. https://www.e-flux.com/journal/110/335242/revolution-or-ruin/</v>
      </c>
      <c r="D278" s="1" t="str">
        <f>IFERROR(__xludf.DUMMYFUNCTION("""COMPUTED_VALUE"""),"Kai Heron is a political ecologist, political economist, and theorist of rural and agrarian transition at Lancaster University. Jodi Dean is an American political theorist and professor in the Political Science department at Hobart and William Smith Colle"&amp;"ges in New York state.")</f>
        <v>Kai Heron is a political ecologist, political economist, and theorist of rural and agrarian transition at Lancaster University. Jodi Dean is an American political theorist and professor in the Political Science department at Hobart and William Smith Colleges in New York state.</v>
      </c>
      <c r="E278" s="1" t="str">
        <f>IFERROR(__xludf.DUMMYFUNCTION("""COMPUTED_VALUE"""),"AFFIRMATIVE")</f>
        <v>AFFIRMATIVE</v>
      </c>
      <c r="F278" s="1" t="str">
        <f>IFERROR(__xludf.DUMMYFUNCTION("""COMPUTED_VALUE"""),"A2 Cap K")</f>
        <v>A2 Cap K</v>
      </c>
      <c r="G278" s="1" t="str">
        <f>IFERROR(__xludf.DUMMYFUNCTION("""COMPUTED_VALUE"""),"Drawing on Wallace-Wells and critiquing Chakrabarty, the text challenges the idea that capitalist self-interest will drive an effective climate response. It argues that framing climate breakdown as a moral failing or as an issue best addressed through mar"&amp;"ket solutions ignores how capitalism profits from disaster. Movements like Extinction Rebellion, by trying to move “beyond politics,” deflect responsibility for genuine collective action. In contrast, the article asserts that only a revolutionary, state-l"&amp;"ed seizure of power—eschewing both reformist green policies like the Green New Deal and state-phobic, decentralized responses—can fundamentally transform the exploitative dynamics of capitalism and confront the intertwined social and ecological catastroph"&amp;"es of our time.")</f>
        <v>Drawing on Wallace-Wells and critiquing Chakrabarty, the text challenges the idea that capitalist self-interest will drive an effective climate response. It argues that framing climate breakdown as a moral failing or as an issue best addressed through market solutions ignores how capitalism profits from disaster. Movements like Extinction Rebellion, by trying to move “beyond politics,” deflect responsibility for genuine collective action. In contrast, the article asserts that only a revolutionary, state-led seizure of power—eschewing both reformist green policies like the Green New Deal and state-phobic, decentralized responses—can fundamentally transform the exploitative dynamics of capitalism and confront the intertwined social and ecological catastrophes of our time.</v>
      </c>
      <c r="H278" s="1"/>
      <c r="I278" s="1" t="str">
        <f>IFERROR(__xludf.DUMMYFUNCTION("""COMPUTED_VALUE"""),"Schmitt UO")</f>
        <v>Schmitt UO</v>
      </c>
      <c r="J278" s="1" t="str">
        <f>IFERROR(__xludf.DUMMYFUNCTION("""COMPUTED_VALUE"""),"Wave 4 (March 26)")</f>
        <v>Wave 4 (March 26)</v>
      </c>
      <c r="K278" s="5" t="str">
        <f>IFERROR(__xludf.DUMMYFUNCTION("""COMPUTED_VALUE"""),"https://drive.google.com/open?id=1b-RnDa3DKN7SoAYxnKRAcW0ADgd2_AZ0")</f>
        <v>https://drive.google.com/open?id=1b-RnDa3DKN7SoAYxnKRAcW0ADgd2_AZ0</v>
      </c>
      <c r="L278" s="3" t="s">
        <v>1</v>
      </c>
    </row>
    <row r="279">
      <c r="A279" s="4">
        <f>IFERROR(__xludf.DUMMYFUNCTION("""COMPUTED_VALUE"""),45742.8881646875)</f>
        <v>45742.88816</v>
      </c>
      <c r="B279" s="1" t="str">
        <f>IFERROR(__xludf.DUMMYFUNCTION("""COMPUTED_VALUE"""),"schmittkyla@gmail.com")</f>
        <v>schmittkyla@gmail.com</v>
      </c>
      <c r="C279" s="1" t="str">
        <f>IFERROR(__xludf.DUMMYFUNCTION("""COMPUTED_VALUE"""),"Kopnina, H., Washington, H., Taylor, B. et al. Anthropocentrism: More than Just a Misunderstood Problem. J Agric Environ Ethics 31, 109–127 (2018). https://doi.org/10.1007/s10806-018-9711-1")</f>
        <v>Kopnina, H., Washington, H., Taylor, B. et al. Anthropocentrism: More than Just a Misunderstood Problem. J Agric Environ Ethics 31, 109–127 (2018). https://doi.org/10.1007/s10806-018-9711-1</v>
      </c>
      <c r="D279" s="1" t="str">
        <f>IFERROR(__xludf.DUMMYFUNCTION("""COMPUTED_VALUE"""),"Institute Cultural Anthropology and Development Sociology, Faculty Social and Behavioural Sciences, Leiden University, Wassenaarseweg 52, 2300 RB Leiden, The Netherlands 2 PANGEA Research Centre, Biological, Earth and Environmental Sciences, Level 5, Biol"&amp;"ogical Sciences Building (D26), The University of New South Wales, Kensington 2052, Australia 3 College of Liberal Arts &amp; Sciences, University of Florida, 107 Anderson Hall P. O. Box 117410, Gainesville, FL 32611-7410, USA 4 Rachel Carson Center, Ludwig M"&amp;"aximillian University of Munich, Leopoldstr. 11a, 80802 Munich, Germany 5 Institute for Environmental and Life Sciences, Karlstad University, Universitetsgatan 1, 65188 Karlstad, Sweden")</f>
        <v>Institute Cultural Anthropology and Development Sociology, Faculty Social and Behavioural Sciences, Leiden University, Wassenaarseweg 52, 2300 RB Leiden, The Netherlands 2 PANGEA Research Centre, Biological, Earth and Environmental Sciences, Level 5, Biological Sciences Building (D26), The University of New South Wales, Kensington 2052, Australia 3 College of Liberal Arts &amp; Sciences, University of Florida, 107 Anderson Hall P. O. Box 117410, Gainesville, FL 32611-7410, USA 4 Rachel Carson Center, Ludwig Maximillian University of Munich, Leopoldstr. 11a, 80802 Munich, Germany 5 Institute for Environmental and Life Sciences, Karlstad University, Universitetsgatan 1, 65188 Karlstad, Sweden</v>
      </c>
      <c r="E279" s="1" t="str">
        <f>IFERROR(__xludf.DUMMYFUNCTION("""COMPUTED_VALUE"""),"NEGATIVE")</f>
        <v>NEGATIVE</v>
      </c>
      <c r="F279" s="1" t="str">
        <f>IFERROR(__xludf.DUMMYFUNCTION("""COMPUTED_VALUE"""),"Anthro K")</f>
        <v>Anthro K</v>
      </c>
      <c r="G279" s="1" t="str">
        <f>IFERROR(__xludf.DUMMYFUNCTION("""COMPUTED_VALUE"""),"The Anthro K is a relevant, interesting approach to the topic area that has thus far not been included in the topic library. Anthropocentrism, originally in environmental ethics, holds that value is human-centered and other beings serve human ends. This a"&amp;"rticle assesses arguments in defense of anthropocentrism and counters: (1) redefining anthropocentrism ignores harmful human behavior, (2) prioritizing inequality may indefinitely delay biodiversity protection, (3) anthropocentrism only aids conservation "&amp;"when direct human benefits are clear, and (4) self-love alone is insufficient for environmental action. It also examines agency, responsibility, and fair attribution of blame in environmental crises.")</f>
        <v>The Anthro K is a relevant, interesting approach to the topic area that has thus far not been included in the topic library. Anthropocentrism, originally in environmental ethics, holds that value is human-centered and other beings serve human ends. This article assesses arguments in defense of anthropocentrism and counters: (1) redefining anthropocentrism ignores harmful human behavior, (2) prioritizing inequality may indefinitely delay biodiversity protection, (3) anthropocentrism only aids conservation when direct human benefits are clear, and (4) self-love alone is insufficient for environmental action. It also examines agency, responsibility, and fair attribution of blame in environmental crises.</v>
      </c>
      <c r="H279" s="1"/>
      <c r="I279" s="1" t="str">
        <f>IFERROR(__xludf.DUMMYFUNCTION("""COMPUTED_VALUE"""),"Schmitt UO")</f>
        <v>Schmitt UO</v>
      </c>
      <c r="J279" s="1" t="str">
        <f>IFERROR(__xludf.DUMMYFUNCTION("""COMPUTED_VALUE"""),"Wave 4 (March 26)")</f>
        <v>Wave 4 (March 26)</v>
      </c>
      <c r="K279" s="5" t="str">
        <f>IFERROR(__xludf.DUMMYFUNCTION("""COMPUTED_VALUE"""),"https://drive.google.com/open?id=1Y04oFQ4KpAUyF8Ge0kpP2k1eJOOyOisv")</f>
        <v>https://drive.google.com/open?id=1Y04oFQ4KpAUyF8Ge0kpP2k1eJOOyOisv</v>
      </c>
      <c r="L279" s="3" t="s">
        <v>2</v>
      </c>
    </row>
    <row r="280">
      <c r="A280" s="4">
        <f>IFERROR(__xludf.DUMMYFUNCTION("""COMPUTED_VALUE"""),45742.89119945602)</f>
        <v>45742.8912</v>
      </c>
      <c r="B280" s="1" t="str">
        <f>IFERROR(__xludf.DUMMYFUNCTION("""COMPUTED_VALUE"""),"schmittkyla@gmail.com")</f>
        <v>schmittkyla@gmail.com</v>
      </c>
      <c r="C280" s="1" t="str">
        <f>IFERROR(__xludf.DUMMYFUNCTION("""COMPUTED_VALUE"""),"Almiron, N., Tafalla, M. Rethinking the Ethical Challenge in the Climate Deadlock: Anthropocentrism, Ideological Denial and Animal Liberation. J Agric Environ Ethics 32, 255–267 (2019). https://doi.org/10.1007/s10806-019-09772-5")</f>
        <v>Almiron, N., Tafalla, M. Rethinking the Ethical Challenge in the Climate Deadlock: Anthropocentrism, Ideological Denial and Animal Liberation. J Agric Environ Ethics 32, 255–267 (2019). https://doi.org/10.1007/s10806-019-09772-5</v>
      </c>
      <c r="D280" s="1" t="str">
        <f>IFERROR(__xludf.DUMMYFUNCTION("""COMPUTED_VALUE"""),"Department of Communication, Universitat Pompeu Fabra, Roc Boronat 138, 08018 Barcelona, Spain 2 Department of Philosophy, Universitat Autònoma de Barcelona, Edifici B Campus de la UAB, 08193 Bellaterra, Spain")</f>
        <v>Department of Communication, Universitat Pompeu Fabra, Roc Boronat 138, 08018 Barcelona, Spain 2 Department of Philosophy, Universitat Autònoma de Barcelona, Edifici B Campus de la UAB, 08193 Bellaterra, Spain</v>
      </c>
      <c r="E280" s="1" t="str">
        <f>IFERROR(__xludf.DUMMYFUNCTION("""COMPUTED_VALUE"""),"NEGATIVE")</f>
        <v>NEGATIVE</v>
      </c>
      <c r="F280" s="1" t="str">
        <f>IFERROR(__xludf.DUMMYFUNCTION("""COMPUTED_VALUE"""),"Anthro K")</f>
        <v>Anthro K</v>
      </c>
      <c r="G280" s="1" t="str">
        <f>IFERROR(__xludf.DUMMYFUNCTION("""COMPUTED_VALUE"""),"This paper supports the currently undeveloped, but highly relevant, Anthro K for this topic area. Climate change scepticism and inaction stem not from science but from ideas shaping our worldview. This paper explores the ideological dimension of climate d"&amp;"enial, focusing on anthropocentric denial as a key barrier to action. We argue that speciesist anthropocentrism, embedded in dominant ethics, prevents humanity from addressing the human-driven causes of global warming. Encouraged by mainstream ethics, hum"&amp;"ans overpopulate, exploit other species, and engage in harmful, unsustainable practices. We contrast this with the egalitarian, non-speciesist ethics of the animal rights movement, proposing it as a radical reflexive shift that could break the climate dea"&amp;"dlock. By linking animal ethics with broader issues of privilege and inequality, we suggest it offers a more effective approach to tackling climate contrarianism and inaction.")</f>
        <v>This paper supports the currently undeveloped, but highly relevant, Anthro K for this topic area. Climate change scepticism and inaction stem not from science but from ideas shaping our worldview. This paper explores the ideological dimension of climate denial, focusing on anthropocentric denial as a key barrier to action. We argue that speciesist anthropocentrism, embedded in dominant ethics, prevents humanity from addressing the human-driven causes of global warming. Encouraged by mainstream ethics, humans overpopulate, exploit other species, and engage in harmful, unsustainable practices. We contrast this with the egalitarian, non-speciesist ethics of the animal rights movement, proposing it as a radical reflexive shift that could break the climate deadlock. By linking animal ethics with broader issues of privilege and inequality, we suggest it offers a more effective approach to tackling climate contrarianism and inaction.</v>
      </c>
      <c r="H280" s="1"/>
      <c r="I280" s="1" t="str">
        <f>IFERROR(__xludf.DUMMYFUNCTION("""COMPUTED_VALUE"""),"Schmitt UO")</f>
        <v>Schmitt UO</v>
      </c>
      <c r="J280" s="1" t="str">
        <f>IFERROR(__xludf.DUMMYFUNCTION("""COMPUTED_VALUE"""),"Wave 4 (March 26)")</f>
        <v>Wave 4 (March 26)</v>
      </c>
      <c r="K280" s="5" t="str">
        <f>IFERROR(__xludf.DUMMYFUNCTION("""COMPUTED_VALUE"""),"https://drive.google.com/open?id=19VtxQZwJVq4AxuN59jMM3dH1dQr1r0hb")</f>
        <v>https://drive.google.com/open?id=19VtxQZwJVq4AxuN59jMM3dH1dQr1r0hb</v>
      </c>
      <c r="L280" s="3" t="s">
        <v>2</v>
      </c>
    </row>
    <row r="281">
      <c r="A281" s="4">
        <f>IFERROR(__xludf.DUMMYFUNCTION("""COMPUTED_VALUE"""),45742.89646002315)</f>
        <v>45742.89646</v>
      </c>
      <c r="B281" s="1" t="str">
        <f>IFERROR(__xludf.DUMMYFUNCTION("""COMPUTED_VALUE"""),"alexmooney256@gmail.com")</f>
        <v>alexmooney256@gmail.com</v>
      </c>
      <c r="C281" s="1" t="str">
        <f>IFERROR(__xludf.DUMMYFUNCTION("""COMPUTED_VALUE"""),"Lomborg, B. (2020). Welfare in the 21st century: Increasing development, reducing inequality, the impact of climate change, and the cost of climate policies. Technological Forecasting and Social Change, 156, 119981")</f>
        <v>Lomborg, B. (2020). Welfare in the 21st century: Increasing development, reducing inequality, the impact of climate change, and the cost of climate policies. Technological Forecasting and Social Change, 156, 119981</v>
      </c>
      <c r="D281" s="1" t="str">
        <f>IFERROR(__xludf.DUMMYFUNCTION("""COMPUTED_VALUE"""),"Dr. Bjorn Lomborg is president of the Copenhagen Consensus Center and visiting professor at Copenhagen Business School.")</f>
        <v>Dr. Bjorn Lomborg is president of the Copenhagen Consensus Center and visiting professor at Copenhagen Business School.</v>
      </c>
      <c r="E281" s="1" t="str">
        <f>IFERROR(__xludf.DUMMYFUNCTION("""COMPUTED_VALUE"""),"MIXED")</f>
        <v>MIXED</v>
      </c>
      <c r="F281" s="1" t="str">
        <f>IFERROR(__xludf.DUMMYFUNCTION("""COMPUTED_VALUE"""),"Inherency, Carbon Tax, &amp; ETS")</f>
        <v>Inherency, Carbon Tax, &amp; ETS</v>
      </c>
      <c r="G281" s="1" t="str">
        <f>IFERROR(__xludf.DUMMYFUNCTION("""COMPUTED_VALUE"""),"Lomborg argues that while climate change poses risks, many policy approaches are economically inefficient and disproportionately harm the global poor. Using cost-benefit analysis, he contends that aggressive mitigation efforts divert resources from more i"&amp;"mmediate humanitarian needs (e.g., poverty reduction, healthcare). Instead, he advocates for incremental solutions, emphasizing adaptation, R&amp;D in green energy, and market-driven growth to reduce vulnerability. Useful for inherency debates, K impact defen"&amp;"se, etc.")</f>
        <v>Lomborg argues that while climate change poses risks, many policy approaches are economically inefficient and disproportionately harm the global poor. Using cost-benefit analysis, he contends that aggressive mitigation efforts divert resources from more immediate humanitarian needs (e.g., poverty reduction, healthcare). Instead, he advocates for incremental solutions, emphasizing adaptation, R&amp;D in green energy, and market-driven growth to reduce vulnerability. Useful for inherency debates, K impact defense, etc.</v>
      </c>
      <c r="H281" s="1" t="str">
        <f>IFERROR(__xludf.DUMMYFUNCTION("""COMPUTED_VALUE"""),"NA")</f>
        <v>NA</v>
      </c>
      <c r="I281" s="1" t="str">
        <f>IFERROR(__xludf.DUMMYFUNCTION("""COMPUTED_VALUE"""),"Jiang Hillsdale")</f>
        <v>Jiang Hillsdale</v>
      </c>
      <c r="J281" s="1" t="str">
        <f>IFERROR(__xludf.DUMMYFUNCTION("""COMPUTED_VALUE"""),"Wave 4 (March 26)")</f>
        <v>Wave 4 (March 26)</v>
      </c>
      <c r="K281" s="5" t="str">
        <f>IFERROR(__xludf.DUMMYFUNCTION("""COMPUTED_VALUE"""),"https://drive.google.com/open?id=1T8ifj5ntPrNB1Z7uEx2NkFmdGolUv6em")</f>
        <v>https://drive.google.com/open?id=1T8ifj5ntPrNB1Z7uEx2NkFmdGolUv6em</v>
      </c>
      <c r="L281" s="3" t="s">
        <v>2</v>
      </c>
    </row>
    <row r="282">
      <c r="A282" s="4">
        <f>IFERROR(__xludf.DUMMYFUNCTION("""COMPUTED_VALUE"""),45742.899615636576)</f>
        <v>45742.89962</v>
      </c>
      <c r="B282" s="1" t="str">
        <f>IFERROR(__xludf.DUMMYFUNCTION("""COMPUTED_VALUE"""),"alexmooney256@gmail.com")</f>
        <v>alexmooney256@gmail.com</v>
      </c>
      <c r="C282" s="1" t="str">
        <f>IFERROR(__xludf.DUMMYFUNCTION("""COMPUTED_VALUE"""),"Böhringer, Christoph, et al. (2022). ""Potential Impacts and Challenges of Border Carbon Adjustments."" Nature Climate Change, vol. 12, 3 Jan. 2022, pp. 22-29, https://doi.org/10.1038/s41558-021-01250-z.")</f>
        <v>Böhringer, Christoph, et al. (2022). "Potential Impacts and Challenges of Border Carbon Adjustments." Nature Climate Change, vol. 12, 3 Jan. 2022, pp. 22-29, https://doi.org/10.1038/s41558-021-01250-z.</v>
      </c>
      <c r="D282" s="1" t="str">
        <f>IFERROR(__xludf.DUMMYFUNCTION("""COMPUTED_VALUE"""),"Bohringer is a Professor of Economic Policy at the Carl von Ossietzky University Oldenburg")</f>
        <v>Bohringer is a Professor of Economic Policy at the Carl von Ossietzky University Oldenburg</v>
      </c>
      <c r="E282" s="1" t="str">
        <f>IFERROR(__xludf.DUMMYFUNCTION("""COMPUTED_VALUE"""),"MIXED")</f>
        <v>MIXED</v>
      </c>
      <c r="F282" s="1" t="str">
        <f>IFERROR(__xludf.DUMMYFUNCTION("""COMPUTED_VALUE"""),"Carbon Tax")</f>
        <v>Carbon Tax</v>
      </c>
      <c r="G282" s="1" t="str">
        <f>IFERROR(__xludf.DUMMYFUNCTION("""COMPUTED_VALUE"""),"Gives potential benefits and challenges of a BCA")</f>
        <v>Gives potential benefits and challenges of a BCA</v>
      </c>
      <c r="H282" s="1" t="str">
        <f>IFERROR(__xludf.DUMMYFUNCTION("""COMPUTED_VALUE"""),"Harmonized carbon pricing across borders is hard to achieve in the real world as carbon leakage can reduce the cost-effectiveness of unilateral approaches to reduce global emissions. To address this problem, border carbon adjustments (BCAs) would apply th"&amp;"e domestic carbon price to emissions embodied in traded goods, which levels the playing field for emissions-intensive and trade-exposed industries. Here, we review the potential environmental and economic impact of border carbon adjustments on leakage red"&amp;"uction, competitiveness restoration, cost-effectiveness, equity and cooperation enhancement. We find that the viability of border carbon adjustment schemes can be substantially reduced with the current legal and practical implementation constraints.")</f>
        <v>Harmonized carbon pricing across borders is hard to achieve in the real world as carbon leakage can reduce the cost-effectiveness of unilateral approaches to reduce global emissions. To address this problem, border carbon adjustments (BCAs) would apply the domestic carbon price to emissions embodied in traded goods, which levels the playing field for emissions-intensive and trade-exposed industries. Here, we review the potential environmental and economic impact of border carbon adjustments on leakage reduction, competitiveness restoration, cost-effectiveness, equity and cooperation enhancement. We find that the viability of border carbon adjustment schemes can be substantially reduced with the current legal and practical implementation constraints.</v>
      </c>
      <c r="I282" s="1" t="str">
        <f>IFERROR(__xludf.DUMMYFUNCTION("""COMPUTED_VALUE"""),"Woo Hillsdale")</f>
        <v>Woo Hillsdale</v>
      </c>
      <c r="J282" s="1" t="str">
        <f>IFERROR(__xludf.DUMMYFUNCTION("""COMPUTED_VALUE"""),"Wave 4 (March 26)")</f>
        <v>Wave 4 (March 26)</v>
      </c>
      <c r="K282" s="5" t="str">
        <f>IFERROR(__xludf.DUMMYFUNCTION("""COMPUTED_VALUE"""),"https://drive.google.com/open?id=1MftpWFJOpL2kDzHP3Kw3YDAfahiZBg97")</f>
        <v>https://drive.google.com/open?id=1MftpWFJOpL2kDzHP3Kw3YDAfahiZBg97</v>
      </c>
      <c r="L282" s="3" t="s">
        <v>1</v>
      </c>
    </row>
    <row r="283">
      <c r="A283" s="4">
        <f>IFERROR(__xludf.DUMMYFUNCTION("""COMPUTED_VALUE"""),45742.90174828704)</f>
        <v>45742.90175</v>
      </c>
      <c r="B283" s="1" t="str">
        <f>IFERROR(__xludf.DUMMYFUNCTION("""COMPUTED_VALUE"""),"alexmooney256@gmail.com")</f>
        <v>alexmooney256@gmail.com</v>
      </c>
      <c r="C283" s="1" t="str">
        <f>IFERROR(__xludf.DUMMYFUNCTION("""COMPUTED_VALUE"""),"Mohamed, M., Zakuan, N. D., Tengku Hassan, T. N. A., Lock, S. S. M., &amp; Mohd Shariff, A. (2024). Global Development and Readiness of Nuclear Fusion Technology as the Alternative Source for Clean Energy Supply. Sustainability, 16(10), 4089. https://doi.org/"&amp;"10.3390/su16104089")</f>
        <v>Mohamed, M., Zakuan, N. D., Tengku Hassan, T. N. A., Lock, S. S. M., &amp; Mohd Shariff, A. (2024). Global Development and Readiness of Nuclear Fusion Technology as the Alternative Source for Clean Energy Supply. Sustainability, 16(10), 4089. https://doi.org/10.3390/su16104089</v>
      </c>
      <c r="D283" s="1" t="str">
        <f>IFERROR(__xludf.DUMMYFUNCTION("""COMPUTED_VALUE"""),"""Dr. Mustakimah Mohamed is currently a postdoctoral researcher at the Universiti Teknologi PETRONAS. She obtained a Doctor of Philosophy (Ph.D.) in Chemical Engineering from Universiti Teknologi PETRONAS in 2019. She has more than 7 years of R&amp;D backgrou"&amp;"nd involving material development, process technology advancement, and waste and biomass utilization. Her research and interests include CO2 separation technology, material development, waste and biomass utilization, and biofuel and biochemical synthesis."&amp;"""")</f>
        <v>"Dr. Mustakimah Mohamed is currently a postdoctoral researcher at the Universiti Teknologi PETRONAS. She obtained a Doctor of Philosophy (Ph.D.) in Chemical Engineering from Universiti Teknologi PETRONAS in 2019. She has more than 7 years of R&amp;D background involving material development, process technology advancement, and waste and biomass utilization. Her research and interests include CO2 separation technology, material development, waste and biomass utilization, and biofuel and biochemical synthesis."</v>
      </c>
      <c r="E283" s="1" t="str">
        <f>IFERROR(__xludf.DUMMYFUNCTION("""COMPUTED_VALUE"""),"MIXED")</f>
        <v>MIXED</v>
      </c>
      <c r="F283" s="1" t="str">
        <f>IFERROR(__xludf.DUMMYFUNCTION("""COMPUTED_VALUE"""),"Inherency")</f>
        <v>Inherency</v>
      </c>
      <c r="G283" s="1" t="str">
        <f>IFERROR(__xludf.DUMMYFUNCTION("""COMPUTED_VALUE"""),"Gives the current state of nuclear fusion and its potential as a replacement for renewable energy")</f>
        <v>Gives the current state of nuclear fusion and its potential as a replacement for renewable energy</v>
      </c>
      <c r="H283" s="1" t="str">
        <f>IFERROR(__xludf.DUMMYFUNCTION("""COMPUTED_VALUE"""),"Nuclear fusion is understood as an energy reaction that does not emit greenhouse gases, and it has been considered as a long-term source of low-carbon electricity that is favourable to curtail rapid climate change. Fusion offers a pathway to resolve energ"&amp;"y security and the unequal distribution of energy resources since seawater is its ultimate fuel source and a few grams of fuel can generate mega kilowatts of power. The development and testing of new materials and technologies are unceasing to achieve the"&amp;" net fusion energy through national and international collaboration as well as private partnerships. The ever-growing number of research works report various designs and magnet-based fusion devices, such as stellarators, lasers, and tokamaks. This article"&amp;" provides an overview on the utilization of nuclear energy as a clean energy source, as well as the strategies and progress towards establishing successful commercial fusion energy to the grid and transition to a reliable clean energy source. The overview"&amp;" focuses on the fusion nuclear development in five major countries, UK, US, China, Japan, and Russia. Identified technical and financial challenges are also described at the end of this article. The International Thermonuclear Experimental Reactor (ITER) "&amp;"has been an international reference program for fusion energy development and most developed countries with nuclear development capacity are aiming to complete their in-house fusion energy facilities in parallel to ITER. Many fusion programs are finishing"&amp;" the conceptual design and shifting into the phase of engineering design for the planned DEMO fusion facilities. The significant challenges were identified from the perspective of device efficiency and robustness, sustainable funding, and facility mainten"&amp;"ance and safety, which must be addressed diligently to realize fusion energy as alternative clean energy that mitigates climate change and supports the goals of energy security.")</f>
        <v>Nuclear fusion is understood as an energy reaction that does not emit greenhouse gases, and it has been considered as a long-term source of low-carbon electricity that is favourable to curtail rapid climate change. Fusion offers a pathway to resolve energy security and the unequal distribution of energy resources since seawater is its ultimate fuel source and a few grams of fuel can generate mega kilowatts of power. The development and testing of new materials and technologies are unceasing to achieve the net fusion energy through national and international collaboration as well as private partnerships. The ever-growing number of research works report various designs and magnet-based fusion devices, such as stellarators, lasers, and tokamaks. This article provides an overview on the utilization of nuclear energy as a clean energy source, as well as the strategies and progress towards establishing successful commercial fusion energy to the grid and transition to a reliable clean energy source. The overview focuses on the fusion nuclear development in five major countries, UK, US, China, Japan, and Russia. Identified technical and financial challenges are also described at the end of this article. The International Thermonuclear Experimental Reactor (ITER) has been an international reference program for fusion energy development and most developed countries with nuclear development capacity are aiming to complete their in-house fusion energy facilities in parallel to ITER. Many fusion programs are finishing the conceptual design and shifting into the phase of engineering design for the planned DEMO fusion facilities. The significant challenges were identified from the perspective of device efficiency and robustness, sustainable funding, and facility maintenance and safety, which must be addressed diligently to realize fusion energy as alternative clean energy that mitigates climate change and supports the goals of energy security.</v>
      </c>
      <c r="I283" s="1" t="str">
        <f>IFERROR(__xludf.DUMMYFUNCTION("""COMPUTED_VALUE"""),"Woo Hillsdale")</f>
        <v>Woo Hillsdale</v>
      </c>
      <c r="J283" s="1" t="str">
        <f>IFERROR(__xludf.DUMMYFUNCTION("""COMPUTED_VALUE"""),"Wave 4 (March 26)")</f>
        <v>Wave 4 (March 26)</v>
      </c>
      <c r="K283" s="5" t="str">
        <f>IFERROR(__xludf.DUMMYFUNCTION("""COMPUTED_VALUE"""),"https://drive.google.com/open?id=16vho8xL-qjs2QwvkoEcku9u8lpCU9Hlw")</f>
        <v>https://drive.google.com/open?id=16vho8xL-qjs2QwvkoEcku9u8lpCU9Hlw</v>
      </c>
      <c r="L283" s="3" t="s">
        <v>2</v>
      </c>
    </row>
    <row r="284">
      <c r="A284" s="4">
        <f>IFERROR(__xludf.DUMMYFUNCTION("""COMPUTED_VALUE"""),45742.97399371528)</f>
        <v>45742.97399</v>
      </c>
      <c r="B284" s="1" t="str">
        <f>IFERROR(__xludf.DUMMYFUNCTION("""COMPUTED_VALUE"""),"mironova.maria.dm@gmail.com")</f>
        <v>mironova.maria.dm@gmail.com</v>
      </c>
      <c r="C284" s="1" t="str">
        <f>IFERROR(__xludf.DUMMYFUNCTION("""COMPUTED_VALUE"""),"OnLocation, Inc. (2024). ENERGY, ECONOMIC, AND ENVIRONMENTAL ASSESSMENT OF U.S. LNG EXPORTS. https://www.energy.gov/sites/default/files/2024-12/LNGUpdate_SummaryReport_Dec2024_230pm.pdf")</f>
        <v>OnLocation, Inc. (2024). ENERGY, ECONOMIC, AND ENVIRONMENTAL ASSESSMENT OF U.S. LNG EXPORTS. https://www.energy.gov/sites/default/files/2024-12/LNGUpdate_SummaryReport_Dec2024_230pm.pdf</v>
      </c>
      <c r="D284" s="1" t="str">
        <f>IFERROR(__xludf.DUMMYFUNCTION("""COMPUTED_VALUE"""),"The report was written for the US DOE in Dec, 2024.")</f>
        <v>The report was written for the US DOE in Dec, 2024.</v>
      </c>
      <c r="E284" s="1" t="str">
        <f>IFERROR(__xludf.DUMMYFUNCTION("""COMPUTED_VALUE"""),"AFFIRMATIVE")</f>
        <v>AFFIRMATIVE</v>
      </c>
      <c r="F284" s="1" t="str">
        <f>IFERROR(__xludf.DUMMYFUNCTION("""COMPUTED_VALUE"""),"LNG DA")</f>
        <v>LNG DA</v>
      </c>
      <c r="G284" s="1" t="str">
        <f>IFERROR(__xludf.DUMMYFUNCTION("""COMPUTED_VALUE"""),"The report presents multiple models based on variation in 1) global climate
policies and policy ambition, 2) technology availability, and 3) U.S. LNG export levels. The report shows that the existing supply ought to be sufficient to meet global and domest"&amp;"ic demand, and that the global centers of LNG production are shifting, however, the US has potential to remain one of such key centers in the decades to come. ")</f>
        <v>The report presents multiple models based on variation in 1) global climate
policies and policy ambition, 2) technology availability, and 3) U.S. LNG export levels. The report shows that the existing supply ought to be sufficient to meet global and domestic demand, and that the global centers of LNG production are shifting, however, the US has potential to remain one of such key centers in the decades to come. </v>
      </c>
      <c r="H284" s="1" t="str">
        <f>IFERROR(__xludf.DUMMYFUNCTION("""COMPUTED_VALUE"""),"NA")</f>
        <v>NA</v>
      </c>
      <c r="I284" s="1" t="str">
        <f>IFERROR(__xludf.DUMMYFUNCTION("""COMPUTED_VALUE"""),"Mironova UO")</f>
        <v>Mironova UO</v>
      </c>
      <c r="J284" s="1" t="str">
        <f>IFERROR(__xludf.DUMMYFUNCTION("""COMPUTED_VALUE"""),"Wave 4 (March 26)")</f>
        <v>Wave 4 (March 26)</v>
      </c>
      <c r="K284" s="5" t="str">
        <f>IFERROR(__xludf.DUMMYFUNCTION("""COMPUTED_VALUE"""),"https://drive.google.com/open?id=1pOxjoLsOOOlt2lQfbyijcmw0mI4u4jIH")</f>
        <v>https://drive.google.com/open?id=1pOxjoLsOOOlt2lQfbyijcmw0mI4u4jIH</v>
      </c>
      <c r="L284" s="3" t="s">
        <v>2</v>
      </c>
    </row>
    <row r="285">
      <c r="A285" s="4">
        <f>IFERROR(__xludf.DUMMYFUNCTION("""COMPUTED_VALUE"""),45742.97771193287)</f>
        <v>45742.97771</v>
      </c>
      <c r="B285" s="1" t="str">
        <f>IFERROR(__xludf.DUMMYFUNCTION("""COMPUTED_VALUE"""),"mironova.maria.dm@gmail.com")</f>
        <v>mironova.maria.dm@gmail.com</v>
      </c>
      <c r="C285" s="1" t="str">
        <f>IFERROR(__xludf.DUMMYFUNCTION("""COMPUTED_VALUE"""),"Fulwood, M. (2023). A New Global Gas Order? (Part 1): The Outlook to 2030 after the Energy Crisis. Oxford Institute for Energy Studies. http://www.jstor.org/stable/resrep52177")</f>
        <v>Fulwood, M. (2023). A New Global Gas Order? (Part 1): The Outlook to 2030 after the Energy Crisis. Oxford Institute for Energy Studies. http://www.jstor.org/stable/resrep52177</v>
      </c>
      <c r="D285" s="1" t="str">
        <f>IFERROR(__xludf.DUMMYFUNCTION("""COMPUTED_VALUE"""),"Mike Fulwood is a senior researcher at the Oxford Institute for Energy Studies")</f>
        <v>Mike Fulwood is a senior researcher at the Oxford Institute for Energy Studies</v>
      </c>
      <c r="E285" s="1" t="str">
        <f>IFERROR(__xludf.DUMMYFUNCTION("""COMPUTED_VALUE"""),"MIXED")</f>
        <v>MIXED</v>
      </c>
      <c r="F285" s="1" t="str">
        <f>IFERROR(__xludf.DUMMYFUNCTION("""COMPUTED_VALUE"""),"LNG DA")</f>
        <v>LNG DA</v>
      </c>
      <c r="G285" s="1" t="str">
        <f>IFERROR(__xludf.DUMMYFUNCTION("""COMPUTED_VALUE"""),"Assuming the status quo, consumption of LNG in European states remains stable as the market share of coal and other non-renewable energy sources is taken over by renewables, while LNG levels remain stable. Although following the energy crisis of the past "&amp;"few years, LNG consumption worldwide is forecasted to reach unprecedented levels, levels of production are expected to be even higher.")</f>
        <v>Assuming the status quo, consumption of LNG in European states remains stable as the market share of coal and other non-renewable energy sources is taken over by renewables, while LNG levels remain stable. Although following the energy crisis of the past few years, LNG consumption worldwide is forecasted to reach unprecedented levels, levels of production are expected to be even higher.</v>
      </c>
      <c r="H285" s="1" t="str">
        <f>IFERROR(__xludf.DUMMYFUNCTION("""COMPUTED_VALUE"""),"NA")</f>
        <v>NA</v>
      </c>
      <c r="I285" s="1" t="str">
        <f>IFERROR(__xludf.DUMMYFUNCTION("""COMPUTED_VALUE"""),"Mironova UO")</f>
        <v>Mironova UO</v>
      </c>
      <c r="J285" s="1" t="str">
        <f>IFERROR(__xludf.DUMMYFUNCTION("""COMPUTED_VALUE"""),"Wave 4 (March 26)")</f>
        <v>Wave 4 (March 26)</v>
      </c>
      <c r="K285" s="5" t="str">
        <f>IFERROR(__xludf.DUMMYFUNCTION("""COMPUTED_VALUE"""),"https://drive.google.com/open?id=1fDeOUB-XJUr9gjmsf3vWxaFs9O8_tQYj")</f>
        <v>https://drive.google.com/open?id=1fDeOUB-XJUr9gjmsf3vWxaFs9O8_tQYj</v>
      </c>
      <c r="L285" s="3" t="s">
        <v>2</v>
      </c>
    </row>
    <row r="286">
      <c r="A286" s="4">
        <f>IFERROR(__xludf.DUMMYFUNCTION("""COMPUTED_VALUE"""),45742.98446082176)</f>
        <v>45742.98446</v>
      </c>
      <c r="B286" s="1" t="str">
        <f>IFERROR(__xludf.DUMMYFUNCTION("""COMPUTED_VALUE"""),"mironova.maria.dm@gmail.com")</f>
        <v>mironova.maria.dm@gmail.com</v>
      </c>
      <c r="C286" s="1" t="str">
        <f>IFERROR(__xludf.DUMMYFUNCTION("""COMPUTED_VALUE"""),"Roberts, J. M., &amp; Cohen, A. (2024). Why the EU needs US liquefied natural gas. Atlantic Council. http://www.jstor.org/stable/resrep61448")</f>
        <v>Roberts, J. M., &amp; Cohen, A. (2024). Why the EU needs US liquefied natural gas. Atlantic Council. http://www.jstor.org/stable/resrep61448</v>
      </c>
      <c r="D286" s="1" t="str">
        <f>IFERROR(__xludf.DUMMYFUNCTION("""COMPUTED_VALUE"""),"John M. Roberts is a Nonresident senior fellow at the Atlantic Council Global Energy Center and a Senior partner at Methinks. Ariel Cohen is a Nonresident senior fellow at the Atlantic Council Eurasia Center, Senior fellow at the International Tax and Inv"&amp;"estment Center, and Managing director at the Energy, Growth and Security Program International Tax and Investment Center")</f>
        <v>John M. Roberts is a Nonresident senior fellow at the Atlantic Council Global Energy Center and a Senior partner at Methinks. Ariel Cohen is a Nonresident senior fellow at the Atlantic Council Eurasia Center, Senior fellow at the International Tax and Investment Center, and Managing director at the Energy, Growth and Security Program International Tax and Investment Center</v>
      </c>
      <c r="E286" s="1" t="str">
        <f>IFERROR(__xludf.DUMMYFUNCTION("""COMPUTED_VALUE"""),"NEGATIVE")</f>
        <v>NEGATIVE</v>
      </c>
      <c r="F286" s="1" t="str">
        <f>IFERROR(__xludf.DUMMYFUNCTION("""COMPUTED_VALUE"""),"LNG DA")</f>
        <v>LNG DA</v>
      </c>
      <c r="G286" s="1" t="str">
        <f>IFERROR(__xludf.DUMMYFUNCTION("""COMPUTED_VALUE"""),"Provides concrete data on levels of European LNG imports from the US and Russia FY 2021 - Q1 2024, outlines the potential alternative sources for European states as the region seeks a replacement for Russian gas, and emphasizes the negative consequences o"&amp;"f any change in US LNG exports. ")</f>
        <v>Provides concrete data on levels of European LNG imports from the US and Russia FY 2021 - Q1 2024, outlines the potential alternative sources for European states as the region seeks a replacement for Russian gas, and emphasizes the negative consequences of any change in US LNG exports. </v>
      </c>
      <c r="H286" s="1" t="str">
        <f>IFERROR(__xludf.DUMMYFUNCTION("""COMPUTED_VALUE"""),"NA")</f>
        <v>NA</v>
      </c>
      <c r="I286" s="1" t="str">
        <f>IFERROR(__xludf.DUMMYFUNCTION("""COMPUTED_VALUE"""),"Mironova UO")</f>
        <v>Mironova UO</v>
      </c>
      <c r="J286" s="1" t="str">
        <f>IFERROR(__xludf.DUMMYFUNCTION("""COMPUTED_VALUE"""),"Wave 4 (March 26)")</f>
        <v>Wave 4 (March 26)</v>
      </c>
      <c r="K286" s="5" t="str">
        <f>IFERROR(__xludf.DUMMYFUNCTION("""COMPUTED_VALUE"""),"https://drive.google.com/open?id=1cjIg2e68zbyAFaJ55VjT7xkZD6o9UIk3")</f>
        <v>https://drive.google.com/open?id=1cjIg2e68zbyAFaJ55VjT7xkZD6o9UIk3</v>
      </c>
      <c r="L286" s="3" t="s">
        <v>2</v>
      </c>
    </row>
    <row r="287">
      <c r="A287" s="4">
        <f>IFERROR(__xludf.DUMMYFUNCTION("""COMPUTED_VALUE"""),45742.98840641204)</f>
        <v>45742.98841</v>
      </c>
      <c r="B287" s="1" t="str">
        <f>IFERROR(__xludf.DUMMYFUNCTION("""COMPUTED_VALUE"""),"mironova.maria.dm@gmail.com")</f>
        <v>mironova.maria.dm@gmail.com</v>
      </c>
      <c r="C287" s="1" t="str">
        <f>IFERROR(__xludf.DUMMYFUNCTION("""COMPUTED_VALUE"""),"Bergmann, M., McGeady, C., Svendsen, O., Zacarias, M., &amp; Urbasos, I. (2024). The Response: Policy Interventions and Policy Costs. In Power Plays: Europe’s Response to the Energy Crisis (pp. 28–47). Center for Strategic and International Studies (CSIS). ht"&amp;"tp://www.jstor.org/stable/resrep63070.7")</f>
        <v>Bergmann, M., McGeady, C., Svendsen, O., Zacarias, M., &amp; Urbasos, I. (2024). The Response: Policy Interventions and Policy Costs. In Power Plays: Europe’s Response to the Energy Crisis (pp. 28–47). Center for Strategic and International Studies (CSIS). http://www.jstor.org/stable/resrep63070.7</v>
      </c>
      <c r="D287" s="1" t="str">
        <f>IFERROR(__xludf.DUMMYFUNCTION("""COMPUTED_VALUE"""),"Max Bergmann is the director of the Europe, Russia, and Eurasia Program and the Stuart Center in Euro-Atlantic and Northern European Studies at the Center for Strategic and International Studies (CSIS). Cy McGeady is a fellow in the Energy Security and Cl"&amp;"imate Change Program at the Center for Strategic and International Studies (CSIS). Otto Svendsen is an associate fellow with the Europe, Russia, and Eurasia Program at the Center for Strategic and International Studies (CSIS), where he provides research a"&amp;"nd analysis on political, economic, and security developments in Europe. Mathias Zacarias is an associate fellow and energy transitions fellow in the Energy Security and Climate Change Program at the Center for Strategic and International Studies (CSIS).")</f>
        <v>Max Bergmann is the director of the Europe, Russia, and Eurasia Program and the Stuart Center in Euro-Atlantic and Northern European Studies at the Center for Strategic and International Studies (CSIS). Cy McGeady is a fellow in the Energy Security and Climate Change Program at the Center for Strategic and International Studies (CSIS). Otto Svendsen is an associate fellow with the Europe, Russia, and Eurasia Program at the Center for Strategic and International Studies (CSIS), where he provides research and analysis on political, economic, and security developments in Europe. Mathias Zacarias is an associate fellow and energy transitions fellow in the Energy Security and Climate Change Program at the Center for Strategic and International Studies (CSIS).</v>
      </c>
      <c r="E287" s="1" t="str">
        <f>IFERROR(__xludf.DUMMYFUNCTION("""COMPUTED_VALUE"""),"MIXED")</f>
        <v>MIXED</v>
      </c>
      <c r="F287" s="1" t="str">
        <f>IFERROR(__xludf.DUMMYFUNCTION("""COMPUTED_VALUE"""),"LNG DA")</f>
        <v>LNG DA</v>
      </c>
      <c r="G287" s="1" t="str">
        <f>IFERROR(__xludf.DUMMYFUNCTION("""COMPUTED_VALUE"""),"The article summarizes events in the European energy landscape following Feb. 2022 and the possible avenues to be explored to cover European energy demands. Points to the decreasing reliance on LNG in the region in the status quo and the flexibility of US"&amp;" exports in taking over the formerly Russian share of the market. ")</f>
        <v>The article summarizes events in the European energy landscape following Feb. 2022 and the possible avenues to be explored to cover European energy demands. Points to the decreasing reliance on LNG in the region in the status quo and the flexibility of US exports in taking over the formerly Russian share of the market. </v>
      </c>
      <c r="H287" s="1" t="str">
        <f>IFERROR(__xludf.DUMMYFUNCTION("""COMPUTED_VALUE"""),"NA")</f>
        <v>NA</v>
      </c>
      <c r="I287" s="1" t="str">
        <f>IFERROR(__xludf.DUMMYFUNCTION("""COMPUTED_VALUE"""),"Mironova UO")</f>
        <v>Mironova UO</v>
      </c>
      <c r="J287" s="1" t="str">
        <f>IFERROR(__xludf.DUMMYFUNCTION("""COMPUTED_VALUE"""),"Wave 4 (March 26)")</f>
        <v>Wave 4 (March 26)</v>
      </c>
      <c r="K287" s="5" t="str">
        <f>IFERROR(__xludf.DUMMYFUNCTION("""COMPUTED_VALUE"""),"https://drive.google.com/open?id=15KrKDYrRGwwFYcCFIYwPR5A-0AG1lE88")</f>
        <v>https://drive.google.com/open?id=15KrKDYrRGwwFYcCFIYwPR5A-0AG1lE88</v>
      </c>
      <c r="L287" s="3" t="s">
        <v>1</v>
      </c>
    </row>
    <row r="288">
      <c r="A288" s="4">
        <f>IFERROR(__xludf.DUMMYFUNCTION("""COMPUTED_VALUE"""),45742.99659834491)</f>
        <v>45742.9966</v>
      </c>
      <c r="B288" s="1" t="str">
        <f>IFERROR(__xludf.DUMMYFUNCTION("""COMPUTED_VALUE"""),"mironova.maria.dm@gmail.com")</f>
        <v>mironova.maria.dm@gmail.com</v>
      </c>
      <c r="C288" s="1" t="str">
        <f>IFERROR(__xludf.DUMMYFUNCTION("""COMPUTED_VALUE"""),"Tienhaara, K., &amp; Cotula, L. (2020). Raising the cost of climate action? Investor-state dispute settlement and compensation for stranded fossil fuel assets. https://www.iied.org/sites/default/files/pdfs/migrate/17660IIED.pdf")</f>
        <v>Tienhaara, K., &amp; Cotula, L. (2020). Raising the cost of climate action? Investor-state dispute settlement and compensation for stranded fossil fuel assets. https://www.iied.org/sites/default/files/pdfs/migrate/17660IIED.pdf</v>
      </c>
      <c r="D288" s="1" t="str">
        <f>IFERROR(__xludf.DUMMYFUNCTION("""COMPUTED_VALUE"""),"Kyla Tienhaara is a Canada Research Chair in Economy and Environment and an Assistant Professor in the School of Environmental Studies and Department of Global Development Studies at Queen’s University, Canada. Lorenzo Cotula is a principal researcher in "&amp;"law and sustainable development at the International Institute for Environment and Development (IIED), where he leads the Legal Tools Team. He is also a Visiting Professor at the School of Law, University of Strathclyde.")</f>
        <v>Kyla Tienhaara is a Canada Research Chair in Economy and Environment and an Assistant Professor in the School of Environmental Studies and Department of Global Development Studies at Queen’s University, Canada. Lorenzo Cotula is a principal researcher in law and sustainable development at the International Institute for Environment and Development (IIED), where he leads the Legal Tools Team. He is also a Visiting Professor at the School of Law, University of Strathclyde.</v>
      </c>
      <c r="E288" s="1" t="str">
        <f>IFERROR(__xludf.DUMMYFUNCTION("""COMPUTED_VALUE"""),"NEGATIVE")</f>
        <v>NEGATIVE</v>
      </c>
      <c r="F288" s="1" t="str">
        <f>IFERROR(__xludf.DUMMYFUNCTION("""COMPUTED_VALUE"""),"Carbon Bubble, NEG to most AFFs")</f>
        <v>Carbon Bubble, NEG to most AFFs</v>
      </c>
      <c r="G288" s="1" t="str">
        <f>IFERROR(__xludf.DUMMYFUNCTION("""COMPUTED_VALUE"""),"The report outlines the risks posed by stranded assets to investors and governments' investment treaty responsibilities, exacerbating power imbalances as the businesses whose activity was undermined may demand payment from the government. Outlines options"&amp;" for how to avoid this, including exiting treating and creating new investment frameworks. ")</f>
        <v>The report outlines the risks posed by stranded assets to investors and governments' investment treaty responsibilities, exacerbating power imbalances as the businesses whose activity was undermined may demand payment from the government. Outlines options for how to avoid this, including exiting treating and creating new investment frameworks. </v>
      </c>
      <c r="H288" s="1" t="str">
        <f>IFERROR(__xludf.DUMMYFUNCTION("""COMPUTED_VALUE"""),"NA")</f>
        <v>NA</v>
      </c>
      <c r="I288" s="1" t="str">
        <f>IFERROR(__xludf.DUMMYFUNCTION("""COMPUTED_VALUE"""),"Mironova UO")</f>
        <v>Mironova UO</v>
      </c>
      <c r="J288" s="1" t="str">
        <f>IFERROR(__xludf.DUMMYFUNCTION("""COMPUTED_VALUE"""),"Wave 4 (March 26)")</f>
        <v>Wave 4 (March 26)</v>
      </c>
      <c r="K288" s="5" t="str">
        <f>IFERROR(__xludf.DUMMYFUNCTION("""COMPUTED_VALUE"""),"https://drive.google.com/open?id=1j2iY-XAbZUJhbXya8WqZKtEvwmRrKt3D")</f>
        <v>https://drive.google.com/open?id=1j2iY-XAbZUJhbXya8WqZKtEvwmRrKt3D</v>
      </c>
      <c r="L288" s="3" t="s">
        <v>2</v>
      </c>
    </row>
    <row r="289">
      <c r="A289" s="1"/>
      <c r="B289" s="1"/>
      <c r="C289" s="1"/>
      <c r="D289" s="1"/>
      <c r="E289" s="1"/>
      <c r="F289" s="1"/>
      <c r="G289" s="1"/>
      <c r="H289" s="1"/>
      <c r="I289" s="1"/>
      <c r="J289" s="1"/>
      <c r="K289" s="2"/>
      <c r="L289" s="1"/>
    </row>
    <row r="290">
      <c r="A290" s="1"/>
      <c r="B290" s="1"/>
      <c r="C290" s="1"/>
      <c r="D290" s="1"/>
      <c r="E290" s="1"/>
      <c r="F290" s="1"/>
      <c r="G290" s="1"/>
      <c r="H290" s="1"/>
      <c r="I290" s="1"/>
      <c r="J290" s="1"/>
      <c r="K290" s="2"/>
      <c r="L290" s="1"/>
    </row>
    <row r="291">
      <c r="A291" s="1"/>
      <c r="B291" s="1"/>
      <c r="C291" s="1"/>
      <c r="D291" s="1"/>
      <c r="E291" s="1"/>
      <c r="F291" s="1"/>
      <c r="G291" s="1"/>
      <c r="H291" s="1"/>
      <c r="I291" s="1"/>
      <c r="J291" s="1"/>
      <c r="K291" s="2"/>
      <c r="L291" s="1"/>
    </row>
    <row r="292">
      <c r="A292" s="1"/>
      <c r="B292" s="1"/>
      <c r="C292" s="1"/>
      <c r="D292" s="1"/>
      <c r="E292" s="1"/>
      <c r="F292" s="1"/>
      <c r="G292" s="1"/>
      <c r="H292" s="1"/>
      <c r="I292" s="1"/>
      <c r="J292" s="1"/>
      <c r="K292" s="2"/>
      <c r="L292" s="1"/>
    </row>
    <row r="293">
      <c r="A293" s="1"/>
      <c r="B293" s="1"/>
      <c r="C293" s="1"/>
      <c r="D293" s="1"/>
      <c r="E293" s="1"/>
      <c r="F293" s="1"/>
      <c r="G293" s="1"/>
      <c r="H293" s="1"/>
      <c r="I293" s="1"/>
      <c r="J293" s="1"/>
      <c r="K293" s="2"/>
      <c r="L293" s="1"/>
    </row>
    <row r="294">
      <c r="A294" s="1"/>
      <c r="B294" s="1"/>
      <c r="C294" s="1"/>
      <c r="D294" s="1"/>
      <c r="E294" s="1"/>
      <c r="F294" s="1"/>
      <c r="G294" s="1"/>
      <c r="H294" s="1"/>
      <c r="I294" s="1"/>
      <c r="J294" s="1"/>
      <c r="K294" s="2"/>
      <c r="L294" s="1"/>
    </row>
    <row r="295">
      <c r="A295" s="1"/>
      <c r="B295" s="1"/>
      <c r="C295" s="1"/>
      <c r="D295" s="1"/>
      <c r="E295" s="1"/>
      <c r="F295" s="1"/>
      <c r="G295" s="1"/>
      <c r="H295" s="1"/>
      <c r="I295" s="1"/>
      <c r="J295" s="1"/>
      <c r="K295" s="2"/>
      <c r="L295" s="1"/>
    </row>
    <row r="296">
      <c r="A296" s="1"/>
      <c r="B296" s="1"/>
      <c r="C296" s="1"/>
      <c r="D296" s="1"/>
      <c r="E296" s="1"/>
      <c r="F296" s="1"/>
      <c r="G296" s="1"/>
      <c r="H296" s="1"/>
      <c r="I296" s="1"/>
      <c r="J296" s="1"/>
      <c r="K296" s="2"/>
      <c r="L296" s="1"/>
    </row>
    <row r="297">
      <c r="A297" s="1"/>
      <c r="B297" s="1"/>
      <c r="C297" s="1"/>
      <c r="D297" s="1"/>
      <c r="E297" s="1"/>
      <c r="F297" s="1"/>
      <c r="G297" s="1"/>
      <c r="H297" s="1"/>
      <c r="I297" s="1"/>
      <c r="J297" s="1"/>
      <c r="K297" s="2"/>
      <c r="L297" s="1"/>
    </row>
    <row r="298">
      <c r="A298" s="1"/>
      <c r="B298" s="1"/>
      <c r="C298" s="1"/>
      <c r="D298" s="1"/>
      <c r="E298" s="1"/>
      <c r="F298" s="1"/>
      <c r="G298" s="1"/>
      <c r="H298" s="1"/>
      <c r="I298" s="1"/>
      <c r="J298" s="1"/>
      <c r="K298" s="2"/>
      <c r="L298" s="1"/>
    </row>
    <row r="299">
      <c r="A299" s="1"/>
      <c r="B299" s="1"/>
      <c r="C299" s="1"/>
      <c r="D299" s="1"/>
      <c r="E299" s="1"/>
      <c r="F299" s="1"/>
      <c r="G299" s="1"/>
      <c r="H299" s="1"/>
      <c r="I299" s="1"/>
      <c r="J299" s="1"/>
      <c r="K299" s="2"/>
      <c r="L299" s="1"/>
    </row>
    <row r="300">
      <c r="A300" s="1"/>
      <c r="B300" s="1"/>
      <c r="C300" s="1"/>
      <c r="D300" s="1"/>
      <c r="E300" s="1"/>
      <c r="F300" s="1"/>
      <c r="G300" s="1"/>
      <c r="H300" s="1"/>
      <c r="I300" s="1"/>
      <c r="J300" s="1"/>
      <c r="K300" s="2"/>
      <c r="L300" s="1"/>
    </row>
    <row r="301">
      <c r="A301" s="1"/>
      <c r="B301" s="1"/>
      <c r="C301" s="1"/>
      <c r="D301" s="1"/>
      <c r="E301" s="1"/>
      <c r="F301" s="1"/>
      <c r="G301" s="1"/>
      <c r="H301" s="1"/>
      <c r="I301" s="1"/>
      <c r="J301" s="1"/>
      <c r="K301" s="2"/>
      <c r="L301" s="1"/>
    </row>
    <row r="302">
      <c r="A302" s="1"/>
      <c r="B302" s="1"/>
      <c r="C302" s="1"/>
      <c r="D302" s="1"/>
      <c r="E302" s="1"/>
      <c r="F302" s="1"/>
      <c r="G302" s="1"/>
      <c r="H302" s="1"/>
      <c r="I302" s="1"/>
      <c r="J302" s="1"/>
      <c r="K302" s="2"/>
      <c r="L302" s="1"/>
    </row>
    <row r="303">
      <c r="A303" s="1"/>
      <c r="B303" s="1"/>
      <c r="C303" s="1"/>
      <c r="D303" s="1"/>
      <c r="E303" s="1"/>
      <c r="F303" s="1"/>
      <c r="G303" s="1"/>
      <c r="H303" s="1"/>
      <c r="I303" s="1"/>
      <c r="J303" s="1"/>
      <c r="K303" s="2"/>
      <c r="L303" s="1"/>
    </row>
    <row r="304">
      <c r="A304" s="1"/>
      <c r="B304" s="1"/>
      <c r="C304" s="1"/>
      <c r="D304" s="1"/>
      <c r="E304" s="1"/>
      <c r="F304" s="1"/>
      <c r="G304" s="1"/>
      <c r="H304" s="1"/>
      <c r="I304" s="1"/>
      <c r="J304" s="1"/>
      <c r="K304" s="2"/>
      <c r="L304" s="1"/>
    </row>
    <row r="305">
      <c r="A305" s="1"/>
      <c r="B305" s="1"/>
      <c r="C305" s="1"/>
      <c r="D305" s="1"/>
      <c r="E305" s="1"/>
      <c r="F305" s="1"/>
      <c r="G305" s="1"/>
      <c r="H305" s="1"/>
      <c r="I305" s="1"/>
      <c r="J305" s="1"/>
      <c r="K305" s="2"/>
      <c r="L305" s="1"/>
    </row>
    <row r="306">
      <c r="A306" s="1"/>
      <c r="B306" s="1"/>
      <c r="C306" s="1"/>
      <c r="D306" s="1"/>
      <c r="E306" s="1"/>
      <c r="F306" s="1"/>
      <c r="G306" s="1"/>
      <c r="H306" s="1"/>
      <c r="I306" s="1"/>
      <c r="J306" s="1"/>
      <c r="K306" s="2"/>
      <c r="L306" s="1"/>
    </row>
    <row r="307">
      <c r="A307" s="1"/>
      <c r="B307" s="1"/>
      <c r="C307" s="1"/>
      <c r="D307" s="1"/>
      <c r="E307" s="1"/>
      <c r="F307" s="1"/>
      <c r="G307" s="1"/>
      <c r="H307" s="1"/>
      <c r="I307" s="1"/>
      <c r="J307" s="1"/>
      <c r="K307" s="2"/>
      <c r="L307" s="1"/>
    </row>
    <row r="308">
      <c r="A308" s="1"/>
      <c r="B308" s="1"/>
      <c r="C308" s="1"/>
      <c r="D308" s="1"/>
      <c r="E308" s="1"/>
      <c r="F308" s="1"/>
      <c r="G308" s="1"/>
      <c r="H308" s="1"/>
      <c r="I308" s="1"/>
      <c r="J308" s="1"/>
      <c r="K308" s="2"/>
      <c r="L308" s="1"/>
    </row>
    <row r="309">
      <c r="A309" s="1"/>
      <c r="B309" s="1"/>
      <c r="C309" s="1"/>
      <c r="D309" s="1"/>
      <c r="E309" s="1"/>
      <c r="F309" s="1"/>
      <c r="G309" s="1"/>
      <c r="H309" s="1"/>
      <c r="I309" s="1"/>
      <c r="J309" s="1"/>
      <c r="K309" s="2"/>
      <c r="L309" s="1"/>
    </row>
    <row r="310">
      <c r="A310" s="1"/>
      <c r="B310" s="1"/>
      <c r="C310" s="1"/>
      <c r="D310" s="1"/>
      <c r="E310" s="1"/>
      <c r="F310" s="1"/>
      <c r="G310" s="1"/>
      <c r="H310" s="1"/>
      <c r="I310" s="1"/>
      <c r="J310" s="1"/>
      <c r="K310" s="2"/>
      <c r="L310" s="1"/>
    </row>
    <row r="311">
      <c r="A311" s="1"/>
      <c r="B311" s="1"/>
      <c r="C311" s="1"/>
      <c r="D311" s="1"/>
      <c r="E311" s="1"/>
      <c r="F311" s="1"/>
      <c r="G311" s="1"/>
      <c r="H311" s="1"/>
      <c r="I311" s="1"/>
      <c r="J311" s="1"/>
      <c r="K311" s="2"/>
      <c r="L311" s="1"/>
    </row>
    <row r="312">
      <c r="A312" s="1"/>
      <c r="B312" s="1"/>
      <c r="C312" s="1"/>
      <c r="D312" s="1"/>
      <c r="E312" s="1"/>
      <c r="F312" s="1"/>
      <c r="G312" s="1"/>
      <c r="H312" s="1"/>
      <c r="I312" s="1"/>
      <c r="J312" s="1"/>
      <c r="K312" s="2"/>
      <c r="L312" s="1"/>
    </row>
    <row r="313">
      <c r="A313" s="1"/>
      <c r="B313" s="1"/>
      <c r="C313" s="1"/>
      <c r="D313" s="1"/>
      <c r="E313" s="1"/>
      <c r="F313" s="1"/>
      <c r="G313" s="1"/>
      <c r="H313" s="1"/>
      <c r="I313" s="1"/>
      <c r="J313" s="1"/>
      <c r="K313" s="2"/>
      <c r="L313" s="1"/>
    </row>
    <row r="314">
      <c r="A314" s="1"/>
      <c r="B314" s="1"/>
      <c r="C314" s="1"/>
      <c r="D314" s="1"/>
      <c r="E314" s="1"/>
      <c r="F314" s="1"/>
      <c r="G314" s="1"/>
      <c r="H314" s="1"/>
      <c r="I314" s="1"/>
      <c r="J314" s="1"/>
      <c r="K314" s="2"/>
      <c r="L314" s="1"/>
    </row>
    <row r="315">
      <c r="A315" s="1"/>
      <c r="B315" s="1"/>
      <c r="C315" s="1"/>
      <c r="D315" s="1"/>
      <c r="E315" s="1"/>
      <c r="F315" s="1"/>
      <c r="G315" s="1"/>
      <c r="H315" s="1"/>
      <c r="I315" s="1"/>
      <c r="J315" s="1"/>
      <c r="K315" s="2"/>
      <c r="L315" s="1"/>
    </row>
    <row r="316">
      <c r="A316" s="1"/>
      <c r="B316" s="1"/>
      <c r="C316" s="1"/>
      <c r="D316" s="1"/>
      <c r="E316" s="1"/>
      <c r="F316" s="1"/>
      <c r="G316" s="1"/>
      <c r="H316" s="1"/>
      <c r="I316" s="1"/>
      <c r="J316" s="1"/>
      <c r="K316" s="2"/>
      <c r="L316" s="1"/>
    </row>
    <row r="317">
      <c r="A317" s="1"/>
      <c r="B317" s="1"/>
      <c r="C317" s="1"/>
      <c r="D317" s="1"/>
      <c r="E317" s="1"/>
      <c r="F317" s="1"/>
      <c r="G317" s="1"/>
      <c r="H317" s="1"/>
      <c r="I317" s="1"/>
      <c r="J317" s="1"/>
      <c r="K317" s="2"/>
      <c r="L317" s="1"/>
    </row>
    <row r="318">
      <c r="A318" s="1"/>
      <c r="B318" s="1"/>
      <c r="C318" s="1"/>
      <c r="D318" s="1"/>
      <c r="E318" s="1"/>
      <c r="F318" s="1"/>
      <c r="G318" s="1"/>
      <c r="H318" s="1"/>
      <c r="I318" s="1"/>
      <c r="J318" s="1"/>
      <c r="K318" s="2"/>
      <c r="L318" s="1"/>
    </row>
    <row r="319">
      <c r="A319" s="1"/>
      <c r="B319" s="1"/>
      <c r="C319" s="1"/>
      <c r="D319" s="1"/>
      <c r="E319" s="1"/>
      <c r="F319" s="1"/>
      <c r="G319" s="1"/>
      <c r="H319" s="1"/>
      <c r="I319" s="1"/>
      <c r="J319" s="1"/>
      <c r="K319" s="2"/>
      <c r="L319" s="1"/>
    </row>
    <row r="320">
      <c r="A320" s="1"/>
      <c r="B320" s="1"/>
      <c r="C320" s="1"/>
      <c r="D320" s="1"/>
      <c r="E320" s="1"/>
      <c r="F320" s="1"/>
      <c r="G320" s="1"/>
      <c r="H320" s="1"/>
      <c r="I320" s="1"/>
      <c r="J320" s="1"/>
      <c r="K320" s="2"/>
      <c r="L320" s="1"/>
    </row>
    <row r="321">
      <c r="A321" s="1"/>
      <c r="B321" s="1"/>
      <c r="C321" s="1"/>
      <c r="D321" s="1"/>
      <c r="E321" s="1"/>
      <c r="F321" s="1"/>
      <c r="G321" s="1"/>
      <c r="H321" s="1"/>
      <c r="I321" s="1"/>
      <c r="J321" s="1"/>
      <c r="K321" s="2"/>
      <c r="L321" s="1"/>
    </row>
    <row r="322">
      <c r="A322" s="1"/>
      <c r="B322" s="1"/>
      <c r="C322" s="1"/>
      <c r="D322" s="1"/>
      <c r="E322" s="1"/>
      <c r="F322" s="1"/>
      <c r="G322" s="1"/>
      <c r="H322" s="1"/>
      <c r="I322" s="1"/>
      <c r="J322" s="1"/>
      <c r="K322" s="2"/>
      <c r="L322" s="1"/>
    </row>
    <row r="323">
      <c r="A323" s="1"/>
      <c r="B323" s="1"/>
      <c r="C323" s="1"/>
      <c r="D323" s="1"/>
      <c r="E323" s="1"/>
      <c r="F323" s="1"/>
      <c r="G323" s="1"/>
      <c r="H323" s="1"/>
      <c r="I323" s="1"/>
      <c r="J323" s="1"/>
      <c r="K323" s="2"/>
      <c r="L323" s="1"/>
    </row>
    <row r="324">
      <c r="A324" s="1"/>
      <c r="B324" s="1"/>
      <c r="C324" s="1"/>
      <c r="D324" s="1"/>
      <c r="E324" s="1"/>
      <c r="F324" s="1"/>
      <c r="G324" s="1"/>
      <c r="H324" s="1"/>
      <c r="I324" s="1"/>
      <c r="J324" s="1"/>
      <c r="K324" s="2"/>
      <c r="L324" s="1"/>
    </row>
    <row r="325">
      <c r="A325" s="1"/>
      <c r="B325" s="1"/>
      <c r="C325" s="1"/>
      <c r="D325" s="1"/>
      <c r="E325" s="1"/>
      <c r="F325" s="1"/>
      <c r="G325" s="1"/>
      <c r="H325" s="1"/>
      <c r="I325" s="1"/>
      <c r="J325" s="1"/>
      <c r="K325" s="2"/>
      <c r="L325" s="1"/>
    </row>
    <row r="326">
      <c r="A326" s="1"/>
      <c r="B326" s="1"/>
      <c r="C326" s="1"/>
      <c r="D326" s="1"/>
      <c r="E326" s="1"/>
      <c r="F326" s="1"/>
      <c r="G326" s="1"/>
      <c r="H326" s="1"/>
      <c r="I326" s="1"/>
      <c r="J326" s="1"/>
      <c r="K326" s="2"/>
      <c r="L326" s="1"/>
    </row>
    <row r="327">
      <c r="A327" s="1"/>
      <c r="B327" s="1"/>
      <c r="C327" s="1"/>
      <c r="D327" s="1"/>
      <c r="E327" s="1"/>
      <c r="F327" s="1"/>
      <c r="G327" s="1"/>
      <c r="H327" s="1"/>
      <c r="I327" s="1"/>
      <c r="J327" s="1"/>
      <c r="K327" s="2"/>
      <c r="L327" s="1"/>
    </row>
    <row r="328">
      <c r="A328" s="1"/>
      <c r="B328" s="1"/>
      <c r="C328" s="1"/>
      <c r="D328" s="1"/>
      <c r="E328" s="1"/>
      <c r="F328" s="1"/>
      <c r="G328" s="1"/>
      <c r="H328" s="1"/>
      <c r="I328" s="1"/>
      <c r="J328" s="1"/>
      <c r="K328" s="2"/>
      <c r="L328" s="1"/>
    </row>
    <row r="329">
      <c r="A329" s="1"/>
      <c r="B329" s="1"/>
      <c r="C329" s="1"/>
      <c r="D329" s="1"/>
      <c r="E329" s="1"/>
      <c r="F329" s="1"/>
      <c r="G329" s="1"/>
      <c r="H329" s="1"/>
      <c r="I329" s="1"/>
      <c r="J329" s="1"/>
      <c r="K329" s="2"/>
      <c r="L329" s="1"/>
    </row>
    <row r="330">
      <c r="A330" s="1"/>
      <c r="B330" s="1"/>
      <c r="C330" s="1"/>
      <c r="D330" s="1"/>
      <c r="E330" s="1"/>
      <c r="F330" s="1"/>
      <c r="G330" s="1"/>
      <c r="H330" s="1"/>
      <c r="I330" s="1"/>
      <c r="J330" s="1"/>
      <c r="K330" s="2"/>
      <c r="L330" s="1"/>
    </row>
    <row r="331">
      <c r="A331" s="1"/>
      <c r="B331" s="1"/>
      <c r="C331" s="1"/>
      <c r="D331" s="1"/>
      <c r="E331" s="1"/>
      <c r="F331" s="1"/>
      <c r="G331" s="1"/>
      <c r="H331" s="1"/>
      <c r="I331" s="1"/>
      <c r="J331" s="1"/>
      <c r="K331" s="2"/>
      <c r="L331" s="1"/>
    </row>
    <row r="332">
      <c r="A332" s="1"/>
      <c r="B332" s="1"/>
      <c r="C332" s="1"/>
      <c r="D332" s="1"/>
      <c r="E332" s="1"/>
      <c r="F332" s="1"/>
      <c r="G332" s="1"/>
      <c r="H332" s="1"/>
      <c r="I332" s="1"/>
      <c r="J332" s="1"/>
      <c r="K332" s="2"/>
      <c r="L332" s="1"/>
    </row>
    <row r="333">
      <c r="A333" s="1"/>
      <c r="B333" s="1"/>
      <c r="C333" s="1"/>
      <c r="D333" s="1"/>
      <c r="E333" s="1"/>
      <c r="F333" s="1"/>
      <c r="G333" s="1"/>
      <c r="H333" s="1"/>
      <c r="I333" s="1"/>
      <c r="J333" s="1"/>
      <c r="K333" s="2"/>
      <c r="L333" s="1"/>
    </row>
    <row r="334">
      <c r="A334" s="1"/>
      <c r="B334" s="1"/>
      <c r="C334" s="1"/>
      <c r="D334" s="1"/>
      <c r="E334" s="1"/>
      <c r="F334" s="1"/>
      <c r="G334" s="1"/>
      <c r="H334" s="1"/>
      <c r="I334" s="1"/>
      <c r="J334" s="1"/>
      <c r="K334" s="2"/>
      <c r="L334" s="1"/>
    </row>
    <row r="335">
      <c r="A335" s="1"/>
      <c r="B335" s="1"/>
      <c r="C335" s="1"/>
      <c r="D335" s="1"/>
      <c r="E335" s="1"/>
      <c r="F335" s="1"/>
      <c r="G335" s="1"/>
      <c r="H335" s="1"/>
      <c r="I335" s="1"/>
      <c r="J335" s="1"/>
      <c r="K335" s="2"/>
      <c r="L335" s="1"/>
    </row>
    <row r="336">
      <c r="A336" s="1"/>
      <c r="B336" s="1"/>
      <c r="C336" s="1"/>
      <c r="D336" s="1"/>
      <c r="E336" s="1"/>
      <c r="F336" s="1"/>
      <c r="G336" s="1"/>
      <c r="H336" s="1"/>
      <c r="I336" s="1"/>
      <c r="J336" s="1"/>
      <c r="K336" s="2"/>
      <c r="L336" s="1"/>
    </row>
    <row r="337">
      <c r="A337" s="1"/>
      <c r="B337" s="1"/>
      <c r="C337" s="1"/>
      <c r="D337" s="1"/>
      <c r="E337" s="1"/>
      <c r="F337" s="1"/>
      <c r="G337" s="1"/>
      <c r="H337" s="1"/>
      <c r="I337" s="1"/>
      <c r="J337" s="1"/>
      <c r="K337" s="2"/>
      <c r="L337" s="1"/>
    </row>
    <row r="338">
      <c r="A338" s="1"/>
      <c r="B338" s="1"/>
      <c r="C338" s="1"/>
      <c r="D338" s="1"/>
      <c r="E338" s="1"/>
      <c r="F338" s="1"/>
      <c r="G338" s="1"/>
      <c r="H338" s="1"/>
      <c r="I338" s="1"/>
      <c r="J338" s="1"/>
      <c r="K338" s="2"/>
      <c r="L338" s="1"/>
    </row>
    <row r="339">
      <c r="A339" s="1"/>
      <c r="B339" s="1"/>
      <c r="C339" s="1"/>
      <c r="D339" s="1"/>
      <c r="E339" s="1"/>
      <c r="F339" s="1"/>
      <c r="G339" s="1"/>
      <c r="H339" s="1"/>
      <c r="I339" s="1"/>
      <c r="J339" s="1"/>
      <c r="K339" s="2"/>
      <c r="L339" s="1"/>
    </row>
    <row r="340">
      <c r="A340" s="1"/>
      <c r="B340" s="1"/>
      <c r="C340" s="1"/>
      <c r="D340" s="1"/>
      <c r="E340" s="1"/>
      <c r="F340" s="1"/>
      <c r="G340" s="1"/>
      <c r="H340" s="1"/>
      <c r="I340" s="1"/>
      <c r="J340" s="1"/>
      <c r="K340" s="2"/>
      <c r="L340" s="1"/>
    </row>
    <row r="341">
      <c r="A341" s="1"/>
      <c r="B341" s="1"/>
      <c r="C341" s="1"/>
      <c r="D341" s="1"/>
      <c r="E341" s="1"/>
      <c r="F341" s="1"/>
      <c r="G341" s="1"/>
      <c r="H341" s="1"/>
      <c r="I341" s="1"/>
      <c r="J341" s="1"/>
      <c r="K341" s="2"/>
      <c r="L341" s="1"/>
    </row>
    <row r="342">
      <c r="A342" s="1"/>
      <c r="B342" s="1"/>
      <c r="C342" s="1"/>
      <c r="D342" s="1"/>
      <c r="E342" s="1"/>
      <c r="F342" s="1"/>
      <c r="G342" s="1"/>
      <c r="H342" s="1"/>
      <c r="I342" s="1"/>
      <c r="J342" s="1"/>
      <c r="K342" s="2"/>
      <c r="L342" s="1"/>
    </row>
    <row r="343">
      <c r="A343" s="1"/>
      <c r="B343" s="1"/>
      <c r="C343" s="1"/>
      <c r="D343" s="1"/>
      <c r="E343" s="1"/>
      <c r="F343" s="1"/>
      <c r="G343" s="1"/>
      <c r="H343" s="1"/>
      <c r="I343" s="1"/>
      <c r="J343" s="1"/>
      <c r="K343" s="2"/>
      <c r="L343" s="1"/>
    </row>
    <row r="344">
      <c r="A344" s="1"/>
      <c r="B344" s="1"/>
      <c r="C344" s="1"/>
      <c r="D344" s="1"/>
      <c r="E344" s="1"/>
      <c r="F344" s="1"/>
      <c r="G344" s="1"/>
      <c r="H344" s="1"/>
      <c r="I344" s="1"/>
      <c r="J344" s="1"/>
      <c r="K344" s="2"/>
      <c r="L344" s="1"/>
    </row>
    <row r="345">
      <c r="A345" s="1"/>
      <c r="B345" s="1"/>
      <c r="C345" s="1"/>
      <c r="D345" s="1"/>
      <c r="E345" s="1"/>
      <c r="F345" s="1"/>
      <c r="G345" s="1"/>
      <c r="H345" s="1"/>
      <c r="I345" s="1"/>
      <c r="J345" s="1"/>
      <c r="K345" s="2"/>
      <c r="L345" s="1"/>
    </row>
    <row r="346">
      <c r="A346" s="1"/>
      <c r="B346" s="1"/>
      <c r="C346" s="1"/>
      <c r="D346" s="1"/>
      <c r="E346" s="1"/>
      <c r="F346" s="1"/>
      <c r="G346" s="1"/>
      <c r="H346" s="1"/>
      <c r="I346" s="1"/>
      <c r="J346" s="1"/>
      <c r="K346" s="2"/>
      <c r="L346" s="1"/>
    </row>
    <row r="347">
      <c r="A347" s="1"/>
      <c r="B347" s="1"/>
      <c r="C347" s="1"/>
      <c r="D347" s="1"/>
      <c r="E347" s="1"/>
      <c r="F347" s="1"/>
      <c r="G347" s="1"/>
      <c r="H347" s="1"/>
      <c r="I347" s="1"/>
      <c r="J347" s="1"/>
      <c r="K347" s="2"/>
      <c r="L347" s="1"/>
    </row>
    <row r="348">
      <c r="A348" s="1"/>
      <c r="B348" s="1"/>
      <c r="C348" s="1"/>
      <c r="D348" s="1"/>
      <c r="E348" s="1"/>
      <c r="F348" s="1"/>
      <c r="G348" s="1"/>
      <c r="H348" s="1"/>
      <c r="I348" s="1"/>
      <c r="J348" s="1"/>
      <c r="K348" s="2"/>
      <c r="L348" s="1"/>
    </row>
    <row r="349">
      <c r="A349" s="1"/>
      <c r="B349" s="1"/>
      <c r="C349" s="1"/>
      <c r="D349" s="1"/>
      <c r="E349" s="1"/>
      <c r="F349" s="1"/>
      <c r="G349" s="1"/>
      <c r="H349" s="1"/>
      <c r="I349" s="1"/>
      <c r="J349" s="1"/>
      <c r="K349" s="2"/>
      <c r="L349" s="1"/>
    </row>
    <row r="350">
      <c r="A350" s="1"/>
      <c r="B350" s="1"/>
      <c r="C350" s="1"/>
      <c r="D350" s="1"/>
      <c r="E350" s="1"/>
      <c r="F350" s="1"/>
      <c r="G350" s="1"/>
      <c r="H350" s="1"/>
      <c r="I350" s="1"/>
      <c r="J350" s="1"/>
      <c r="K350" s="2"/>
      <c r="L350" s="1"/>
    </row>
    <row r="351">
      <c r="A351" s="1"/>
      <c r="B351" s="1"/>
      <c r="C351" s="1"/>
      <c r="D351" s="1"/>
      <c r="E351" s="1"/>
      <c r="F351" s="1"/>
      <c r="G351" s="1"/>
      <c r="H351" s="1"/>
      <c r="I351" s="1"/>
      <c r="J351" s="1"/>
      <c r="K351" s="2"/>
      <c r="L351" s="1"/>
    </row>
    <row r="352">
      <c r="A352" s="1"/>
      <c r="B352" s="1"/>
      <c r="C352" s="1"/>
      <c r="D352" s="1"/>
      <c r="E352" s="1"/>
      <c r="F352" s="1"/>
      <c r="G352" s="1"/>
      <c r="H352" s="1"/>
      <c r="I352" s="1"/>
      <c r="J352" s="1"/>
      <c r="K352" s="2"/>
      <c r="L352" s="1"/>
    </row>
    <row r="353">
      <c r="A353" s="1"/>
      <c r="B353" s="1"/>
      <c r="C353" s="1"/>
      <c r="D353" s="1"/>
      <c r="E353" s="1"/>
      <c r="F353" s="1"/>
      <c r="G353" s="1"/>
      <c r="H353" s="1"/>
      <c r="I353" s="1"/>
      <c r="J353" s="1"/>
      <c r="K353" s="2"/>
      <c r="L353" s="1"/>
    </row>
    <row r="354">
      <c r="A354" s="1"/>
      <c r="B354" s="1"/>
      <c r="C354" s="1"/>
      <c r="D354" s="1"/>
      <c r="E354" s="1"/>
      <c r="F354" s="1"/>
      <c r="G354" s="1"/>
      <c r="H354" s="1"/>
      <c r="I354" s="1"/>
      <c r="J354" s="1"/>
      <c r="K354" s="2"/>
      <c r="L354" s="1"/>
    </row>
    <row r="355">
      <c r="A355" s="1"/>
      <c r="B355" s="1"/>
      <c r="C355" s="1"/>
      <c r="D355" s="1"/>
      <c r="E355" s="1"/>
      <c r="F355" s="1"/>
      <c r="G355" s="1"/>
      <c r="H355" s="1"/>
      <c r="I355" s="1"/>
      <c r="J355" s="1"/>
      <c r="K355" s="2"/>
      <c r="L355" s="1"/>
    </row>
    <row r="356">
      <c r="A356" s="1"/>
      <c r="B356" s="1"/>
      <c r="C356" s="1"/>
      <c r="D356" s="1"/>
      <c r="E356" s="1"/>
      <c r="F356" s="1"/>
      <c r="G356" s="1"/>
      <c r="H356" s="1"/>
      <c r="I356" s="1"/>
      <c r="J356" s="1"/>
      <c r="K356" s="2"/>
      <c r="L356" s="1"/>
    </row>
    <row r="357">
      <c r="A357" s="1"/>
      <c r="B357" s="1"/>
      <c r="C357" s="1"/>
      <c r="D357" s="1"/>
      <c r="E357" s="1"/>
      <c r="F357" s="1"/>
      <c r="G357" s="1"/>
      <c r="H357" s="1"/>
      <c r="I357" s="1"/>
      <c r="J357" s="1"/>
      <c r="K357" s="2"/>
      <c r="L357" s="1"/>
    </row>
    <row r="358">
      <c r="A358" s="1"/>
      <c r="B358" s="1"/>
      <c r="C358" s="1"/>
      <c r="D358" s="1"/>
      <c r="E358" s="1"/>
      <c r="F358" s="1"/>
      <c r="G358" s="1"/>
      <c r="H358" s="1"/>
      <c r="I358" s="1"/>
      <c r="J358" s="1"/>
      <c r="K358" s="2"/>
      <c r="L358" s="1"/>
    </row>
    <row r="359">
      <c r="A359" s="1"/>
      <c r="B359" s="1"/>
      <c r="C359" s="1"/>
      <c r="D359" s="1"/>
      <c r="E359" s="1"/>
      <c r="F359" s="1"/>
      <c r="G359" s="1"/>
      <c r="H359" s="1"/>
      <c r="I359" s="1"/>
      <c r="J359" s="1"/>
      <c r="K359" s="2"/>
      <c r="L359" s="1"/>
    </row>
    <row r="360">
      <c r="A360" s="1"/>
      <c r="B360" s="1"/>
      <c r="C360" s="1"/>
      <c r="D360" s="1"/>
      <c r="E360" s="1"/>
      <c r="F360" s="1"/>
      <c r="G360" s="1"/>
      <c r="H360" s="1"/>
      <c r="I360" s="1"/>
      <c r="J360" s="1"/>
      <c r="K360" s="2"/>
      <c r="L360" s="1"/>
    </row>
    <row r="361">
      <c r="A361" s="1"/>
      <c r="B361" s="1"/>
      <c r="C361" s="1"/>
      <c r="D361" s="1"/>
      <c r="E361" s="1"/>
      <c r="F361" s="1"/>
      <c r="G361" s="1"/>
      <c r="H361" s="1"/>
      <c r="I361" s="1"/>
      <c r="J361" s="1"/>
      <c r="K361" s="2"/>
      <c r="L361" s="1"/>
    </row>
    <row r="362">
      <c r="A362" s="1"/>
      <c r="B362" s="1"/>
      <c r="C362" s="1"/>
      <c r="D362" s="1"/>
      <c r="E362" s="1"/>
      <c r="F362" s="1"/>
      <c r="G362" s="1"/>
      <c r="H362" s="1"/>
      <c r="I362" s="1"/>
      <c r="J362" s="1"/>
      <c r="K362" s="2"/>
      <c r="L362" s="1"/>
    </row>
    <row r="363">
      <c r="A363" s="1"/>
      <c r="B363" s="1"/>
      <c r="C363" s="1"/>
      <c r="D363" s="1"/>
      <c r="E363" s="1"/>
      <c r="F363" s="1"/>
      <c r="G363" s="1"/>
      <c r="H363" s="1"/>
      <c r="I363" s="1"/>
      <c r="J363" s="1"/>
      <c r="K363" s="2"/>
      <c r="L363" s="1"/>
    </row>
    <row r="364">
      <c r="A364" s="1"/>
      <c r="B364" s="1"/>
      <c r="C364" s="1"/>
      <c r="D364" s="1"/>
      <c r="E364" s="1"/>
      <c r="F364" s="1"/>
      <c r="G364" s="1"/>
      <c r="H364" s="1"/>
      <c r="I364" s="1"/>
      <c r="J364" s="1"/>
      <c r="K364" s="2"/>
      <c r="L364" s="1"/>
    </row>
    <row r="365">
      <c r="A365" s="1"/>
      <c r="B365" s="1"/>
      <c r="C365" s="1"/>
      <c r="D365" s="1"/>
      <c r="E365" s="1"/>
      <c r="F365" s="1"/>
      <c r="G365" s="1"/>
      <c r="H365" s="1"/>
      <c r="I365" s="1"/>
      <c r="J365" s="1"/>
      <c r="K365" s="2"/>
      <c r="L365" s="1"/>
    </row>
    <row r="366">
      <c r="A366" s="1"/>
      <c r="B366" s="1"/>
      <c r="C366" s="1"/>
      <c r="D366" s="1"/>
      <c r="E366" s="1"/>
      <c r="F366" s="1"/>
      <c r="G366" s="1"/>
      <c r="H366" s="1"/>
      <c r="I366" s="1"/>
      <c r="J366" s="1"/>
      <c r="K366" s="2"/>
      <c r="L366" s="1"/>
    </row>
    <row r="367">
      <c r="A367" s="1"/>
      <c r="B367" s="1"/>
      <c r="C367" s="1"/>
      <c r="D367" s="1"/>
      <c r="E367" s="1"/>
      <c r="F367" s="1"/>
      <c r="G367" s="1"/>
      <c r="H367" s="1"/>
      <c r="I367" s="1"/>
      <c r="J367" s="1"/>
      <c r="K367" s="2"/>
      <c r="L367" s="1"/>
    </row>
    <row r="368">
      <c r="A368" s="1"/>
      <c r="B368" s="1"/>
      <c r="C368" s="1"/>
      <c r="D368" s="1"/>
      <c r="E368" s="1"/>
      <c r="F368" s="1"/>
      <c r="G368" s="1"/>
      <c r="H368" s="1"/>
      <c r="I368" s="1"/>
      <c r="J368" s="1"/>
      <c r="K368" s="2"/>
      <c r="L368" s="1"/>
    </row>
    <row r="369">
      <c r="A369" s="1"/>
      <c r="B369" s="1"/>
      <c r="C369" s="1"/>
      <c r="D369" s="1"/>
      <c r="E369" s="1"/>
      <c r="F369" s="1"/>
      <c r="G369" s="1"/>
      <c r="H369" s="1"/>
      <c r="I369" s="1"/>
      <c r="J369" s="1"/>
      <c r="K369" s="2"/>
      <c r="L369" s="1"/>
    </row>
    <row r="370">
      <c r="A370" s="1"/>
      <c r="B370" s="1"/>
      <c r="C370" s="1"/>
      <c r="D370" s="1"/>
      <c r="E370" s="1"/>
      <c r="F370" s="1"/>
      <c r="G370" s="1"/>
      <c r="H370" s="1"/>
      <c r="I370" s="1"/>
      <c r="J370" s="1"/>
      <c r="K370" s="2"/>
      <c r="L370" s="1"/>
    </row>
    <row r="371">
      <c r="A371" s="1"/>
      <c r="B371" s="1"/>
      <c r="C371" s="1"/>
      <c r="D371" s="1"/>
      <c r="E371" s="1"/>
      <c r="F371" s="1"/>
      <c r="G371" s="1"/>
      <c r="H371" s="1"/>
      <c r="I371" s="1"/>
      <c r="J371" s="1"/>
      <c r="K371" s="2"/>
      <c r="L371" s="1"/>
    </row>
    <row r="372">
      <c r="A372" s="1"/>
      <c r="B372" s="1"/>
      <c r="C372" s="1"/>
      <c r="D372" s="1"/>
      <c r="E372" s="1"/>
      <c r="F372" s="1"/>
      <c r="G372" s="1"/>
      <c r="H372" s="1"/>
      <c r="I372" s="1"/>
      <c r="J372" s="1"/>
      <c r="K372" s="2"/>
      <c r="L372" s="1"/>
    </row>
    <row r="373">
      <c r="A373" s="1"/>
      <c r="B373" s="1"/>
      <c r="C373" s="1"/>
      <c r="D373" s="1"/>
      <c r="E373" s="1"/>
      <c r="F373" s="1"/>
      <c r="G373" s="1"/>
      <c r="H373" s="1"/>
      <c r="I373" s="1"/>
      <c r="J373" s="1"/>
      <c r="K373" s="2"/>
      <c r="L373" s="1"/>
    </row>
    <row r="374">
      <c r="A374" s="1"/>
      <c r="B374" s="1"/>
      <c r="C374" s="1"/>
      <c r="D374" s="1"/>
      <c r="E374" s="1"/>
      <c r="F374" s="1"/>
      <c r="G374" s="1"/>
      <c r="H374" s="1"/>
      <c r="I374" s="1"/>
      <c r="J374" s="1"/>
      <c r="K374" s="2"/>
      <c r="L374" s="1"/>
    </row>
    <row r="375">
      <c r="A375" s="1"/>
      <c r="B375" s="1"/>
      <c r="C375" s="1"/>
      <c r="D375" s="1"/>
      <c r="E375" s="1"/>
      <c r="F375" s="1"/>
      <c r="G375" s="1"/>
      <c r="H375" s="1"/>
      <c r="I375" s="1"/>
      <c r="J375" s="1"/>
      <c r="K375" s="2"/>
      <c r="L375" s="1"/>
    </row>
    <row r="376">
      <c r="A376" s="1"/>
      <c r="B376" s="1"/>
      <c r="C376" s="1"/>
      <c r="D376" s="1"/>
      <c r="E376" s="1"/>
      <c r="F376" s="1"/>
      <c r="G376" s="1"/>
      <c r="H376" s="1"/>
      <c r="I376" s="1"/>
      <c r="J376" s="1"/>
      <c r="K376" s="2"/>
      <c r="L376" s="1"/>
    </row>
    <row r="377">
      <c r="A377" s="1"/>
      <c r="B377" s="1"/>
      <c r="C377" s="1"/>
      <c r="D377" s="1"/>
      <c r="E377" s="1"/>
      <c r="F377" s="1"/>
      <c r="G377" s="1"/>
      <c r="H377" s="1"/>
      <c r="I377" s="1"/>
      <c r="J377" s="1"/>
      <c r="K377" s="2"/>
      <c r="L377" s="1"/>
    </row>
    <row r="378">
      <c r="A378" s="1"/>
      <c r="B378" s="1"/>
      <c r="C378" s="1"/>
      <c r="D378" s="1"/>
      <c r="E378" s="1"/>
      <c r="F378" s="1"/>
      <c r="G378" s="1"/>
      <c r="H378" s="1"/>
      <c r="I378" s="1"/>
      <c r="J378" s="1"/>
      <c r="K378" s="2"/>
      <c r="L378" s="1"/>
    </row>
    <row r="379">
      <c r="A379" s="1"/>
      <c r="B379" s="1"/>
      <c r="C379" s="1"/>
      <c r="D379" s="1"/>
      <c r="E379" s="1"/>
      <c r="F379" s="1"/>
      <c r="G379" s="1"/>
      <c r="H379" s="1"/>
      <c r="I379" s="1"/>
      <c r="J379" s="1"/>
      <c r="K379" s="2"/>
      <c r="L379" s="1"/>
    </row>
    <row r="380">
      <c r="A380" s="1"/>
      <c r="B380" s="1"/>
      <c r="C380" s="1"/>
      <c r="D380" s="1"/>
      <c r="E380" s="1"/>
      <c r="F380" s="1"/>
      <c r="G380" s="1"/>
      <c r="H380" s="1"/>
      <c r="I380" s="1"/>
      <c r="J380" s="1"/>
      <c r="K380" s="2"/>
      <c r="L380" s="1"/>
    </row>
    <row r="381">
      <c r="A381" s="1"/>
      <c r="B381" s="1"/>
      <c r="C381" s="1"/>
      <c r="D381" s="1"/>
      <c r="E381" s="1"/>
      <c r="F381" s="1"/>
      <c r="G381" s="1"/>
      <c r="H381" s="1"/>
      <c r="I381" s="1"/>
      <c r="J381" s="1"/>
      <c r="K381" s="2"/>
      <c r="L381" s="1"/>
    </row>
    <row r="382">
      <c r="A382" s="1"/>
      <c r="B382" s="1"/>
      <c r="C382" s="1"/>
      <c r="D382" s="1"/>
      <c r="E382" s="1"/>
      <c r="F382" s="1"/>
      <c r="G382" s="1"/>
      <c r="H382" s="1"/>
      <c r="I382" s="1"/>
      <c r="J382" s="1"/>
      <c r="K382" s="2"/>
      <c r="L382" s="1"/>
    </row>
    <row r="383">
      <c r="A383" s="1"/>
      <c r="B383" s="1"/>
      <c r="C383" s="1"/>
      <c r="D383" s="1"/>
      <c r="E383" s="1"/>
      <c r="F383" s="1"/>
      <c r="G383" s="1"/>
      <c r="H383" s="1"/>
      <c r="I383" s="1"/>
      <c r="J383" s="1"/>
      <c r="K383" s="2"/>
      <c r="L383" s="1"/>
    </row>
    <row r="384">
      <c r="A384" s="1"/>
      <c r="B384" s="1"/>
      <c r="C384" s="1"/>
      <c r="D384" s="1"/>
      <c r="E384" s="1"/>
      <c r="F384" s="1"/>
      <c r="G384" s="1"/>
      <c r="H384" s="1"/>
      <c r="I384" s="1"/>
      <c r="J384" s="1"/>
      <c r="K384" s="2"/>
      <c r="L384" s="1"/>
    </row>
    <row r="385">
      <c r="A385" s="1"/>
      <c r="B385" s="1"/>
      <c r="C385" s="1"/>
      <c r="D385" s="1"/>
      <c r="E385" s="1"/>
      <c r="F385" s="1"/>
      <c r="G385" s="1"/>
      <c r="H385" s="1"/>
      <c r="I385" s="1"/>
      <c r="J385" s="1"/>
      <c r="K385" s="2"/>
      <c r="L385" s="1"/>
    </row>
    <row r="386">
      <c r="A386" s="1"/>
      <c r="B386" s="1"/>
      <c r="C386" s="1"/>
      <c r="D386" s="1"/>
      <c r="E386" s="1"/>
      <c r="F386" s="1"/>
      <c r="G386" s="1"/>
      <c r="H386" s="1"/>
      <c r="I386" s="1"/>
      <c r="J386" s="1"/>
      <c r="K386" s="2"/>
      <c r="L386" s="1"/>
    </row>
    <row r="387">
      <c r="A387" s="1"/>
      <c r="B387" s="1"/>
      <c r="C387" s="1"/>
      <c r="D387" s="1"/>
      <c r="E387" s="1"/>
      <c r="F387" s="1"/>
      <c r="G387" s="1"/>
      <c r="H387" s="1"/>
      <c r="I387" s="1"/>
      <c r="J387" s="1"/>
      <c r="K387" s="2"/>
      <c r="L387" s="1"/>
    </row>
    <row r="388">
      <c r="A388" s="1"/>
      <c r="B388" s="1"/>
      <c r="C388" s="1"/>
      <c r="D388" s="1"/>
      <c r="E388" s="1"/>
      <c r="F388" s="1"/>
      <c r="G388" s="1"/>
      <c r="H388" s="1"/>
      <c r="I388" s="1"/>
      <c r="J388" s="1"/>
      <c r="K388" s="2"/>
      <c r="L388" s="1"/>
    </row>
    <row r="389">
      <c r="K389" s="2"/>
      <c r="L389" s="1"/>
    </row>
    <row r="390">
      <c r="K390" s="2"/>
      <c r="L390" s="1"/>
    </row>
    <row r="391">
      <c r="K391" s="2"/>
      <c r="L391" s="1"/>
    </row>
    <row r="392">
      <c r="K392" s="2"/>
      <c r="L392" s="1"/>
    </row>
    <row r="393">
      <c r="K393" s="2"/>
      <c r="L393" s="1"/>
    </row>
    <row r="394">
      <c r="K394" s="2"/>
      <c r="L394" s="1"/>
    </row>
    <row r="395">
      <c r="K395" s="2"/>
      <c r="L395" s="1"/>
    </row>
    <row r="396">
      <c r="K396" s="2"/>
      <c r="L396" s="1"/>
    </row>
    <row r="397">
      <c r="K397" s="2"/>
      <c r="L397" s="1"/>
    </row>
    <row r="398">
      <c r="K398" s="2"/>
      <c r="L398" s="1"/>
    </row>
    <row r="399">
      <c r="K399" s="2"/>
      <c r="L399" s="1"/>
    </row>
    <row r="400">
      <c r="K400" s="2"/>
      <c r="L400" s="1"/>
    </row>
    <row r="401">
      <c r="K401" s="2"/>
      <c r="L401" s="1"/>
    </row>
    <row r="402">
      <c r="K402" s="2"/>
      <c r="L402" s="1"/>
    </row>
    <row r="403">
      <c r="K403" s="2"/>
      <c r="L403" s="1"/>
    </row>
    <row r="404">
      <c r="K404" s="2"/>
      <c r="L404" s="1"/>
    </row>
    <row r="405">
      <c r="K405" s="2"/>
      <c r="L405" s="1"/>
    </row>
    <row r="406">
      <c r="K406" s="2"/>
      <c r="L406" s="1"/>
    </row>
    <row r="407">
      <c r="K407" s="2"/>
      <c r="L407" s="1"/>
    </row>
    <row r="408">
      <c r="K408" s="2"/>
      <c r="L408" s="1"/>
    </row>
    <row r="409">
      <c r="K409" s="2"/>
      <c r="L409" s="1"/>
    </row>
    <row r="410">
      <c r="K410" s="2"/>
      <c r="L410" s="1"/>
    </row>
    <row r="411">
      <c r="K411" s="2"/>
      <c r="L411" s="1"/>
    </row>
    <row r="412">
      <c r="K412" s="2"/>
      <c r="L412" s="1"/>
    </row>
    <row r="413">
      <c r="K413" s="2"/>
      <c r="L413" s="1"/>
    </row>
    <row r="414">
      <c r="K414" s="2"/>
      <c r="L414" s="1"/>
    </row>
    <row r="415">
      <c r="K415" s="2"/>
      <c r="L415" s="1"/>
    </row>
    <row r="416">
      <c r="K416" s="2"/>
      <c r="L416" s="1"/>
    </row>
    <row r="417">
      <c r="K417" s="2"/>
      <c r="L417" s="1"/>
    </row>
    <row r="418">
      <c r="K418" s="2"/>
      <c r="L418" s="1"/>
    </row>
    <row r="419">
      <c r="K419" s="2"/>
      <c r="L419" s="1"/>
    </row>
    <row r="420">
      <c r="K420" s="2"/>
      <c r="L420" s="1"/>
    </row>
    <row r="421">
      <c r="K421" s="2"/>
      <c r="L421" s="1"/>
    </row>
    <row r="422">
      <c r="K422" s="2"/>
      <c r="L422" s="1"/>
    </row>
    <row r="423">
      <c r="K423" s="2"/>
      <c r="L423" s="1"/>
    </row>
    <row r="424">
      <c r="K424" s="2"/>
      <c r="L424" s="1"/>
    </row>
    <row r="425">
      <c r="K425" s="2"/>
      <c r="L425" s="1"/>
    </row>
    <row r="426">
      <c r="K426" s="2"/>
      <c r="L426" s="1"/>
    </row>
    <row r="427">
      <c r="K427" s="2"/>
      <c r="L427" s="1"/>
    </row>
    <row r="428">
      <c r="K428" s="2"/>
      <c r="L428" s="1"/>
    </row>
    <row r="429">
      <c r="K429" s="2"/>
      <c r="L429" s="1"/>
    </row>
    <row r="430">
      <c r="K430" s="2"/>
      <c r="L430" s="1"/>
    </row>
    <row r="431">
      <c r="K431" s="2"/>
      <c r="L431" s="1"/>
    </row>
    <row r="432">
      <c r="K432" s="2"/>
      <c r="L432" s="1"/>
    </row>
    <row r="433">
      <c r="K433" s="2"/>
      <c r="L433" s="1"/>
    </row>
    <row r="434">
      <c r="K434" s="2"/>
      <c r="L434" s="1"/>
    </row>
    <row r="435">
      <c r="K435" s="2"/>
      <c r="L435" s="1"/>
    </row>
    <row r="436">
      <c r="K436" s="2"/>
      <c r="L436" s="1"/>
    </row>
    <row r="437">
      <c r="K437" s="2"/>
      <c r="L437" s="1"/>
    </row>
    <row r="438">
      <c r="K438" s="2"/>
      <c r="L438" s="1"/>
    </row>
    <row r="439">
      <c r="K439" s="2"/>
      <c r="L439" s="1"/>
    </row>
    <row r="440">
      <c r="K440" s="2"/>
      <c r="L440" s="1"/>
    </row>
    <row r="441">
      <c r="K441" s="2"/>
      <c r="L441" s="1"/>
    </row>
    <row r="442">
      <c r="K442" s="2"/>
      <c r="L442" s="1"/>
    </row>
    <row r="443">
      <c r="K443" s="2"/>
      <c r="L443" s="1"/>
    </row>
    <row r="444">
      <c r="K444" s="2"/>
      <c r="L444" s="1"/>
    </row>
    <row r="445">
      <c r="K445" s="2"/>
      <c r="L445" s="1"/>
    </row>
    <row r="446">
      <c r="K446" s="2"/>
      <c r="L446" s="1"/>
    </row>
    <row r="447">
      <c r="K447" s="2"/>
      <c r="L447" s="1"/>
    </row>
    <row r="448">
      <c r="K448" s="2"/>
      <c r="L448" s="1"/>
    </row>
    <row r="449">
      <c r="K449" s="2"/>
      <c r="L449" s="1"/>
    </row>
    <row r="450">
      <c r="K450" s="2"/>
      <c r="L450" s="1"/>
    </row>
    <row r="451">
      <c r="K451" s="2"/>
      <c r="L451" s="1"/>
    </row>
    <row r="452">
      <c r="K452" s="2"/>
      <c r="L452" s="1"/>
    </row>
    <row r="453">
      <c r="K453" s="2"/>
      <c r="L453" s="1"/>
    </row>
    <row r="454">
      <c r="K454" s="2"/>
      <c r="L454" s="1"/>
    </row>
    <row r="455">
      <c r="K455" s="2"/>
      <c r="L455" s="1"/>
    </row>
    <row r="456">
      <c r="K456" s="2"/>
      <c r="L456" s="1"/>
    </row>
    <row r="457">
      <c r="K457" s="2"/>
      <c r="L457" s="1"/>
    </row>
    <row r="458">
      <c r="K458" s="2"/>
      <c r="L458" s="1"/>
    </row>
    <row r="459">
      <c r="K459" s="2"/>
      <c r="L459" s="1"/>
    </row>
    <row r="460">
      <c r="K460" s="2"/>
      <c r="L460" s="1"/>
    </row>
    <row r="461">
      <c r="K461" s="2"/>
      <c r="L461" s="1"/>
    </row>
    <row r="462">
      <c r="K462" s="2"/>
      <c r="L462" s="1"/>
    </row>
    <row r="463">
      <c r="K463" s="2"/>
      <c r="L463" s="1"/>
    </row>
    <row r="464">
      <c r="K464" s="2"/>
      <c r="L464" s="1"/>
    </row>
    <row r="465">
      <c r="K465" s="2"/>
      <c r="L465" s="1"/>
    </row>
    <row r="466">
      <c r="K466" s="2"/>
      <c r="L466" s="1"/>
    </row>
    <row r="467">
      <c r="K467" s="2"/>
      <c r="L467" s="1"/>
    </row>
    <row r="468">
      <c r="K468" s="2"/>
      <c r="L468" s="1"/>
    </row>
    <row r="469">
      <c r="K469" s="2"/>
      <c r="L469" s="1"/>
    </row>
    <row r="470">
      <c r="K470" s="2"/>
      <c r="L470" s="1"/>
    </row>
    <row r="471">
      <c r="K471" s="2"/>
      <c r="L471" s="1"/>
    </row>
    <row r="472">
      <c r="K472" s="2"/>
      <c r="L472" s="1"/>
    </row>
    <row r="473">
      <c r="K473" s="2"/>
      <c r="L473" s="1"/>
    </row>
    <row r="474">
      <c r="K474" s="2"/>
      <c r="L474" s="1"/>
    </row>
    <row r="475">
      <c r="K475" s="2"/>
      <c r="L475" s="1"/>
    </row>
    <row r="476">
      <c r="K476" s="2"/>
      <c r="L476" s="1"/>
    </row>
    <row r="477">
      <c r="K477" s="2"/>
      <c r="L477" s="1"/>
    </row>
    <row r="478">
      <c r="K478" s="2"/>
      <c r="L478" s="1"/>
    </row>
    <row r="479">
      <c r="K479" s="2"/>
      <c r="L479" s="1"/>
    </row>
    <row r="480">
      <c r="K480" s="2"/>
      <c r="L480" s="1"/>
    </row>
    <row r="481">
      <c r="K481" s="2"/>
      <c r="L481" s="1"/>
    </row>
    <row r="482">
      <c r="K482" s="2"/>
      <c r="L482" s="1"/>
    </row>
    <row r="483">
      <c r="K483" s="2"/>
      <c r="L483" s="1"/>
    </row>
    <row r="484">
      <c r="K484" s="2"/>
      <c r="L484" s="1"/>
    </row>
    <row r="485">
      <c r="K485" s="2"/>
      <c r="L485" s="1"/>
    </row>
    <row r="486">
      <c r="K486" s="2"/>
      <c r="L486" s="1"/>
    </row>
    <row r="487">
      <c r="K487" s="2"/>
      <c r="L487" s="1"/>
    </row>
    <row r="488">
      <c r="K488" s="2"/>
      <c r="L488" s="1"/>
    </row>
    <row r="489">
      <c r="K489" s="2"/>
      <c r="L489" s="1"/>
    </row>
    <row r="490">
      <c r="K490" s="2"/>
      <c r="L490" s="1"/>
    </row>
    <row r="491">
      <c r="K491" s="2"/>
      <c r="L491" s="1"/>
    </row>
    <row r="492">
      <c r="K492" s="2"/>
      <c r="L492" s="1"/>
    </row>
    <row r="493">
      <c r="K493" s="2"/>
      <c r="L493" s="1"/>
    </row>
    <row r="494">
      <c r="K494" s="2"/>
      <c r="L494" s="1"/>
    </row>
    <row r="495">
      <c r="K495" s="2"/>
      <c r="L495" s="1"/>
    </row>
    <row r="496">
      <c r="K496" s="2"/>
      <c r="L496" s="1"/>
    </row>
    <row r="497">
      <c r="K497" s="2"/>
      <c r="L497" s="1"/>
    </row>
    <row r="498">
      <c r="K498" s="2"/>
      <c r="L498" s="1"/>
    </row>
    <row r="499">
      <c r="K499" s="2"/>
      <c r="L499" s="1"/>
    </row>
    <row r="500">
      <c r="K500" s="2"/>
      <c r="L500" s="1"/>
    </row>
    <row r="501">
      <c r="K501" s="2"/>
      <c r="L501" s="1"/>
    </row>
    <row r="502">
      <c r="K502" s="2"/>
      <c r="L502" s="1"/>
    </row>
    <row r="503">
      <c r="K503" s="2"/>
      <c r="L503" s="1"/>
    </row>
    <row r="504">
      <c r="K504" s="2"/>
      <c r="L504" s="1"/>
    </row>
    <row r="505">
      <c r="K505" s="2"/>
      <c r="L505" s="1"/>
    </row>
    <row r="506">
      <c r="K506" s="2"/>
      <c r="L506" s="1"/>
    </row>
    <row r="507">
      <c r="K507" s="2"/>
      <c r="L507" s="1"/>
    </row>
    <row r="508">
      <c r="K508" s="2"/>
      <c r="L508" s="1"/>
    </row>
    <row r="509">
      <c r="K509" s="2"/>
      <c r="L509" s="1"/>
    </row>
    <row r="510">
      <c r="K510" s="2"/>
      <c r="L510" s="1"/>
    </row>
    <row r="511">
      <c r="K511" s="2"/>
      <c r="L511" s="1"/>
    </row>
    <row r="512">
      <c r="K512" s="2"/>
      <c r="L512" s="1"/>
    </row>
    <row r="513">
      <c r="K513" s="2"/>
      <c r="L513" s="1"/>
    </row>
    <row r="514">
      <c r="K514" s="2"/>
      <c r="L514" s="1"/>
    </row>
    <row r="515">
      <c r="K515" s="2"/>
      <c r="L515" s="1"/>
    </row>
    <row r="516">
      <c r="K516" s="2"/>
      <c r="L516" s="1"/>
    </row>
    <row r="517">
      <c r="K517" s="2"/>
      <c r="L517" s="1"/>
    </row>
    <row r="518">
      <c r="K518" s="2"/>
      <c r="L518" s="1"/>
    </row>
    <row r="519">
      <c r="K519" s="2"/>
      <c r="L519" s="1"/>
    </row>
    <row r="520">
      <c r="K520" s="2"/>
      <c r="L520" s="1"/>
    </row>
    <row r="521">
      <c r="K521" s="2"/>
      <c r="L521" s="1"/>
    </row>
    <row r="522">
      <c r="K522" s="2"/>
      <c r="L522" s="1"/>
    </row>
    <row r="523">
      <c r="K523" s="2"/>
      <c r="L523" s="1"/>
    </row>
    <row r="524">
      <c r="K524" s="2"/>
      <c r="L524" s="1"/>
    </row>
    <row r="525">
      <c r="K525" s="2"/>
      <c r="L525" s="1"/>
    </row>
    <row r="526">
      <c r="K526" s="2"/>
      <c r="L526" s="1"/>
    </row>
    <row r="527">
      <c r="K527" s="2"/>
      <c r="L527" s="1"/>
    </row>
    <row r="528">
      <c r="K528" s="2"/>
      <c r="L528" s="1"/>
    </row>
    <row r="529">
      <c r="K529" s="2"/>
      <c r="L529" s="1"/>
    </row>
    <row r="530">
      <c r="K530" s="2"/>
      <c r="L530" s="1"/>
    </row>
    <row r="531">
      <c r="K531" s="2"/>
      <c r="L531" s="1"/>
    </row>
    <row r="532">
      <c r="K532" s="2"/>
      <c r="L532" s="1"/>
    </row>
    <row r="533">
      <c r="K533" s="2"/>
      <c r="L533" s="1"/>
    </row>
    <row r="534">
      <c r="K534" s="2"/>
      <c r="L534" s="1"/>
    </row>
    <row r="535">
      <c r="K535" s="2"/>
      <c r="L535" s="1"/>
    </row>
    <row r="536">
      <c r="K536" s="2"/>
      <c r="L536" s="1"/>
    </row>
    <row r="537">
      <c r="K537" s="2"/>
      <c r="L537" s="1"/>
    </row>
    <row r="538">
      <c r="K538" s="2"/>
      <c r="L538" s="1"/>
    </row>
    <row r="539">
      <c r="K539" s="2"/>
      <c r="L539" s="1"/>
    </row>
    <row r="540">
      <c r="K540" s="2"/>
      <c r="L540" s="1"/>
    </row>
    <row r="541">
      <c r="K541" s="2"/>
      <c r="L541" s="1"/>
    </row>
    <row r="542">
      <c r="K542" s="2"/>
      <c r="L542" s="1"/>
    </row>
    <row r="543">
      <c r="K543" s="2"/>
      <c r="L543" s="1"/>
    </row>
    <row r="544">
      <c r="K544" s="2"/>
      <c r="L544" s="1"/>
    </row>
    <row r="545">
      <c r="K545" s="2"/>
      <c r="L545" s="1"/>
    </row>
    <row r="546">
      <c r="K546" s="2"/>
      <c r="L546" s="1"/>
    </row>
    <row r="547">
      <c r="K547" s="2"/>
      <c r="L547" s="1"/>
    </row>
    <row r="548">
      <c r="K548" s="2"/>
      <c r="L548" s="1"/>
    </row>
    <row r="549">
      <c r="K549" s="2"/>
      <c r="L549" s="1"/>
    </row>
    <row r="550">
      <c r="K550" s="2"/>
      <c r="L550" s="1"/>
    </row>
    <row r="551">
      <c r="K551" s="2"/>
      <c r="L551" s="1"/>
    </row>
    <row r="552">
      <c r="K552" s="2"/>
      <c r="L552" s="1"/>
    </row>
    <row r="553">
      <c r="K553" s="2"/>
      <c r="L553" s="1"/>
    </row>
    <row r="554">
      <c r="K554" s="2"/>
      <c r="L554" s="1"/>
    </row>
    <row r="555">
      <c r="K555" s="2"/>
      <c r="L555" s="1"/>
    </row>
    <row r="556">
      <c r="K556" s="2"/>
      <c r="L556" s="1"/>
    </row>
    <row r="557">
      <c r="K557" s="2"/>
      <c r="L557" s="1"/>
    </row>
    <row r="558">
      <c r="K558" s="2"/>
      <c r="L558" s="1"/>
    </row>
    <row r="559">
      <c r="K559" s="2"/>
      <c r="L559" s="1"/>
    </row>
    <row r="560">
      <c r="K560" s="2"/>
      <c r="L560" s="1"/>
    </row>
    <row r="561">
      <c r="K561" s="2"/>
      <c r="L561" s="1"/>
    </row>
    <row r="562">
      <c r="K562" s="2"/>
      <c r="L562" s="1"/>
    </row>
    <row r="563">
      <c r="K563" s="2"/>
      <c r="L563" s="1"/>
    </row>
    <row r="564">
      <c r="K564" s="2"/>
      <c r="L564" s="1"/>
    </row>
    <row r="565">
      <c r="K565" s="2"/>
      <c r="L565" s="1"/>
    </row>
    <row r="566">
      <c r="K566" s="2"/>
      <c r="L566" s="1"/>
    </row>
    <row r="567">
      <c r="K567" s="2"/>
      <c r="L567" s="1"/>
    </row>
    <row r="568">
      <c r="K568" s="2"/>
      <c r="L568" s="1"/>
    </row>
    <row r="569">
      <c r="K569" s="2"/>
      <c r="L569" s="1"/>
    </row>
    <row r="570">
      <c r="K570" s="2"/>
      <c r="L570" s="1"/>
    </row>
    <row r="571">
      <c r="K571" s="2"/>
      <c r="L571" s="1"/>
    </row>
    <row r="572">
      <c r="K572" s="2"/>
      <c r="L572" s="1"/>
    </row>
    <row r="573">
      <c r="K573" s="2"/>
      <c r="L573" s="1"/>
    </row>
    <row r="574">
      <c r="K574" s="2"/>
      <c r="L574" s="1"/>
    </row>
    <row r="575">
      <c r="K575" s="2"/>
      <c r="L575" s="1"/>
    </row>
    <row r="576">
      <c r="K576" s="2"/>
      <c r="L576" s="1"/>
    </row>
    <row r="577">
      <c r="K577" s="2"/>
      <c r="L577" s="1"/>
    </row>
    <row r="578">
      <c r="K578" s="2"/>
      <c r="L578" s="1"/>
    </row>
    <row r="579">
      <c r="K579" s="2"/>
      <c r="L579" s="1"/>
    </row>
    <row r="580">
      <c r="K580" s="2"/>
      <c r="L580" s="1"/>
    </row>
    <row r="581">
      <c r="K581" s="2"/>
      <c r="L581" s="1"/>
    </row>
    <row r="582">
      <c r="K582" s="2"/>
      <c r="L582" s="1"/>
    </row>
    <row r="583">
      <c r="K583" s="2"/>
      <c r="L583" s="1"/>
    </row>
    <row r="584">
      <c r="K584" s="2"/>
      <c r="L584" s="1"/>
    </row>
    <row r="585">
      <c r="K585" s="2"/>
      <c r="L585" s="1"/>
    </row>
    <row r="586">
      <c r="K586" s="2"/>
      <c r="L586" s="1"/>
    </row>
    <row r="587">
      <c r="K587" s="2"/>
      <c r="L587" s="1"/>
    </row>
    <row r="588">
      <c r="K588" s="2"/>
      <c r="L588" s="1"/>
    </row>
    <row r="589">
      <c r="K589" s="2"/>
      <c r="L589" s="1"/>
    </row>
    <row r="590">
      <c r="K590" s="2"/>
      <c r="L590" s="1"/>
    </row>
    <row r="591">
      <c r="K591" s="2"/>
      <c r="L591" s="1"/>
    </row>
    <row r="592">
      <c r="K592" s="2"/>
      <c r="L592" s="1"/>
    </row>
    <row r="593">
      <c r="K593" s="2"/>
      <c r="L593" s="1"/>
    </row>
    <row r="594">
      <c r="K594" s="2"/>
      <c r="L594" s="1"/>
    </row>
    <row r="595">
      <c r="K595" s="2"/>
      <c r="L595" s="1"/>
    </row>
    <row r="596">
      <c r="K596" s="2"/>
      <c r="L596" s="1"/>
    </row>
    <row r="597">
      <c r="K597" s="2"/>
      <c r="L597" s="1"/>
    </row>
    <row r="598">
      <c r="K598" s="2"/>
      <c r="L598" s="1"/>
    </row>
    <row r="599">
      <c r="K599" s="2"/>
      <c r="L599" s="1"/>
    </row>
    <row r="600">
      <c r="K600" s="2"/>
      <c r="L600" s="1"/>
    </row>
    <row r="601">
      <c r="K601" s="2"/>
      <c r="L601" s="1"/>
    </row>
    <row r="602">
      <c r="K602" s="2"/>
      <c r="L602" s="1"/>
    </row>
    <row r="603">
      <c r="K603" s="2"/>
      <c r="L603" s="1"/>
    </row>
    <row r="604">
      <c r="K604" s="2"/>
      <c r="L604" s="1"/>
    </row>
    <row r="605">
      <c r="K605" s="2"/>
      <c r="L605" s="1"/>
    </row>
    <row r="606">
      <c r="K606" s="2"/>
      <c r="L606" s="1"/>
    </row>
    <row r="607">
      <c r="K607" s="2"/>
      <c r="L607" s="1"/>
    </row>
    <row r="608">
      <c r="K608" s="2"/>
      <c r="L608" s="1"/>
    </row>
    <row r="609">
      <c r="K609" s="2"/>
      <c r="L609" s="1"/>
    </row>
    <row r="610">
      <c r="K610" s="2"/>
      <c r="L610" s="1"/>
    </row>
    <row r="611">
      <c r="K611" s="2"/>
      <c r="L611" s="1"/>
    </row>
    <row r="612">
      <c r="K612" s="2"/>
      <c r="L612" s="1"/>
    </row>
    <row r="613">
      <c r="K613" s="2"/>
      <c r="L613" s="1"/>
    </row>
    <row r="614">
      <c r="K614" s="2"/>
      <c r="L614" s="1"/>
    </row>
    <row r="615">
      <c r="K615" s="2"/>
      <c r="L615" s="1"/>
    </row>
    <row r="616">
      <c r="K616" s="2"/>
      <c r="L616" s="1"/>
    </row>
    <row r="617">
      <c r="K617" s="2"/>
      <c r="L617" s="1"/>
    </row>
    <row r="618">
      <c r="K618" s="2"/>
      <c r="L618" s="1"/>
    </row>
    <row r="619">
      <c r="K619" s="2"/>
      <c r="L619" s="1"/>
    </row>
    <row r="620">
      <c r="K620" s="2"/>
      <c r="L620" s="1"/>
    </row>
    <row r="621">
      <c r="K621" s="2"/>
      <c r="L621" s="1"/>
    </row>
    <row r="622">
      <c r="K622" s="2"/>
      <c r="L622" s="1"/>
    </row>
    <row r="623">
      <c r="K623" s="2"/>
      <c r="L623" s="1"/>
    </row>
    <row r="624">
      <c r="K624" s="2"/>
      <c r="L624" s="1"/>
    </row>
    <row r="625">
      <c r="K625" s="2"/>
      <c r="L625" s="1"/>
    </row>
    <row r="626">
      <c r="K626" s="2"/>
      <c r="L626" s="1"/>
    </row>
    <row r="627">
      <c r="K627" s="2"/>
      <c r="L627" s="1"/>
    </row>
    <row r="628">
      <c r="K628" s="2"/>
      <c r="L628" s="1"/>
    </row>
    <row r="629">
      <c r="K629" s="2"/>
      <c r="L629" s="1"/>
    </row>
    <row r="630">
      <c r="K630" s="2"/>
      <c r="L630" s="1"/>
    </row>
    <row r="631">
      <c r="K631" s="2"/>
      <c r="L631" s="1"/>
    </row>
    <row r="632">
      <c r="K632" s="2"/>
      <c r="L632" s="1"/>
    </row>
    <row r="633">
      <c r="K633" s="2"/>
      <c r="L633" s="1"/>
    </row>
    <row r="634">
      <c r="K634" s="2"/>
      <c r="L634" s="1"/>
    </row>
    <row r="635">
      <c r="K635" s="2"/>
      <c r="L635" s="1"/>
    </row>
    <row r="636">
      <c r="K636" s="2"/>
      <c r="L636" s="1"/>
    </row>
    <row r="637">
      <c r="K637" s="2"/>
      <c r="L637" s="1"/>
    </row>
    <row r="638">
      <c r="K638" s="2"/>
      <c r="L638" s="1"/>
    </row>
    <row r="639">
      <c r="K639" s="2"/>
      <c r="L639" s="1"/>
    </row>
    <row r="640">
      <c r="K640" s="2"/>
      <c r="L640" s="1"/>
    </row>
    <row r="641">
      <c r="K641" s="2"/>
      <c r="L641" s="1"/>
    </row>
    <row r="642">
      <c r="K642" s="2"/>
      <c r="L642" s="1"/>
    </row>
    <row r="643">
      <c r="K643" s="2"/>
      <c r="L643" s="1"/>
    </row>
    <row r="644">
      <c r="K644" s="2"/>
      <c r="L644" s="1"/>
    </row>
    <row r="645">
      <c r="K645" s="2"/>
      <c r="L645" s="1"/>
    </row>
    <row r="646">
      <c r="K646" s="2"/>
      <c r="L646" s="1"/>
    </row>
    <row r="647">
      <c r="K647" s="2"/>
      <c r="L647" s="1"/>
    </row>
    <row r="648">
      <c r="K648" s="2"/>
      <c r="L648" s="1"/>
    </row>
    <row r="649">
      <c r="K649" s="2"/>
      <c r="L649" s="1"/>
    </row>
    <row r="650">
      <c r="K650" s="2"/>
      <c r="L650" s="1"/>
    </row>
    <row r="651">
      <c r="K651" s="2"/>
      <c r="L651" s="1"/>
    </row>
    <row r="652">
      <c r="K652" s="2"/>
      <c r="L652" s="1"/>
    </row>
    <row r="653">
      <c r="K653" s="2"/>
      <c r="L653" s="1"/>
    </row>
    <row r="654">
      <c r="K654" s="2"/>
      <c r="L654" s="1"/>
    </row>
    <row r="655">
      <c r="K655" s="2"/>
      <c r="L655" s="1"/>
    </row>
    <row r="656">
      <c r="K656" s="2"/>
      <c r="L656" s="1"/>
    </row>
    <row r="657">
      <c r="K657" s="2"/>
      <c r="L657" s="1"/>
    </row>
    <row r="658">
      <c r="K658" s="2"/>
      <c r="L658" s="1"/>
    </row>
    <row r="659">
      <c r="K659" s="2"/>
      <c r="L659" s="1"/>
    </row>
    <row r="660">
      <c r="K660" s="2"/>
      <c r="L660" s="1"/>
    </row>
    <row r="661">
      <c r="K661" s="2"/>
      <c r="L661" s="1"/>
    </row>
    <row r="662">
      <c r="K662" s="2"/>
      <c r="L662" s="1"/>
    </row>
    <row r="663">
      <c r="K663" s="2"/>
      <c r="L663" s="1"/>
    </row>
    <row r="664">
      <c r="K664" s="2"/>
      <c r="L664" s="1"/>
    </row>
    <row r="665">
      <c r="K665" s="2"/>
      <c r="L665" s="1"/>
    </row>
    <row r="666">
      <c r="K666" s="2"/>
      <c r="L666" s="1"/>
    </row>
    <row r="667">
      <c r="K667" s="2"/>
      <c r="L667" s="1"/>
    </row>
    <row r="668">
      <c r="K668" s="2"/>
      <c r="L668" s="1"/>
    </row>
    <row r="669">
      <c r="K669" s="2"/>
      <c r="L669" s="1"/>
    </row>
    <row r="670">
      <c r="K670" s="2"/>
      <c r="L670" s="1"/>
    </row>
    <row r="671">
      <c r="K671" s="2"/>
      <c r="L671" s="1"/>
    </row>
    <row r="672">
      <c r="K672" s="2"/>
      <c r="L672" s="1"/>
    </row>
    <row r="673">
      <c r="K673" s="2"/>
      <c r="L673" s="1"/>
    </row>
    <row r="674">
      <c r="K674" s="2"/>
      <c r="L674" s="1"/>
    </row>
    <row r="675">
      <c r="K675" s="2"/>
      <c r="L675" s="1"/>
    </row>
    <row r="676">
      <c r="K676" s="2"/>
      <c r="L676" s="1"/>
    </row>
    <row r="677">
      <c r="K677" s="2"/>
      <c r="L677" s="1"/>
    </row>
    <row r="678">
      <c r="K678" s="2"/>
      <c r="L678" s="1"/>
    </row>
    <row r="679">
      <c r="K679" s="2"/>
      <c r="L679" s="1"/>
    </row>
    <row r="680">
      <c r="K680" s="2"/>
      <c r="L680" s="1"/>
    </row>
    <row r="681">
      <c r="K681" s="2"/>
      <c r="L681" s="1"/>
    </row>
    <row r="682">
      <c r="K682" s="2"/>
      <c r="L682" s="1"/>
    </row>
    <row r="683">
      <c r="K683" s="2"/>
      <c r="L683" s="1"/>
    </row>
    <row r="684">
      <c r="K684" s="2"/>
      <c r="L684" s="1"/>
    </row>
    <row r="685">
      <c r="K685" s="2"/>
      <c r="L685" s="1"/>
    </row>
    <row r="686">
      <c r="K686" s="2"/>
      <c r="L686" s="1"/>
    </row>
    <row r="687">
      <c r="K687" s="2"/>
      <c r="L687" s="1"/>
    </row>
    <row r="688">
      <c r="K688" s="2"/>
      <c r="L688" s="1"/>
    </row>
    <row r="689">
      <c r="K689" s="2"/>
      <c r="L689" s="1"/>
    </row>
    <row r="690">
      <c r="K690" s="2"/>
      <c r="L690" s="1"/>
    </row>
    <row r="691">
      <c r="K691" s="2"/>
      <c r="L691" s="1"/>
    </row>
    <row r="692">
      <c r="K692" s="2"/>
      <c r="L692" s="1"/>
    </row>
    <row r="693">
      <c r="K693" s="2"/>
      <c r="L693" s="1"/>
    </row>
    <row r="694">
      <c r="K694" s="2"/>
      <c r="L694" s="1"/>
    </row>
    <row r="695">
      <c r="K695" s="2"/>
      <c r="L695" s="1"/>
    </row>
    <row r="696">
      <c r="K696" s="2"/>
      <c r="L696" s="1"/>
    </row>
    <row r="697">
      <c r="K697" s="2"/>
      <c r="L697" s="1"/>
    </row>
    <row r="698">
      <c r="K698" s="2"/>
      <c r="L698" s="1"/>
    </row>
    <row r="699">
      <c r="K699" s="2"/>
      <c r="L699" s="1"/>
    </row>
    <row r="700">
      <c r="K700" s="2"/>
      <c r="L700" s="1"/>
    </row>
    <row r="701">
      <c r="K701" s="2"/>
      <c r="L701" s="1"/>
    </row>
    <row r="702">
      <c r="K702" s="2"/>
      <c r="L702" s="1"/>
    </row>
    <row r="703">
      <c r="K703" s="2"/>
      <c r="L703" s="1"/>
    </row>
    <row r="704">
      <c r="K704" s="2"/>
      <c r="L704" s="1"/>
    </row>
    <row r="705">
      <c r="K705" s="2"/>
      <c r="L705" s="1"/>
    </row>
    <row r="706">
      <c r="K706" s="2"/>
      <c r="L706" s="1"/>
    </row>
    <row r="707">
      <c r="K707" s="2"/>
      <c r="L707" s="1"/>
    </row>
    <row r="708">
      <c r="K708" s="2"/>
      <c r="L708" s="1"/>
    </row>
    <row r="709">
      <c r="K709" s="2"/>
      <c r="L709" s="1"/>
    </row>
    <row r="710">
      <c r="K710" s="2"/>
      <c r="L710" s="1"/>
    </row>
    <row r="711">
      <c r="K711" s="2"/>
      <c r="L711" s="1"/>
    </row>
    <row r="712">
      <c r="K712" s="2"/>
      <c r="L712" s="1"/>
    </row>
    <row r="713">
      <c r="K713" s="2"/>
      <c r="L713" s="1"/>
    </row>
    <row r="714">
      <c r="K714" s="2"/>
      <c r="L714" s="1"/>
    </row>
    <row r="715">
      <c r="K715" s="2"/>
      <c r="L715" s="1"/>
    </row>
    <row r="716">
      <c r="K716" s="2"/>
      <c r="L716" s="1"/>
    </row>
    <row r="717">
      <c r="K717" s="2"/>
      <c r="L717" s="1"/>
    </row>
    <row r="718">
      <c r="K718" s="2"/>
      <c r="L718" s="1"/>
    </row>
    <row r="719">
      <c r="K719" s="2"/>
      <c r="L719" s="1"/>
    </row>
    <row r="720">
      <c r="K720" s="2"/>
      <c r="L720" s="1"/>
    </row>
    <row r="721">
      <c r="K721" s="2"/>
      <c r="L721" s="1"/>
    </row>
    <row r="722">
      <c r="K722" s="2"/>
      <c r="L722" s="1"/>
    </row>
    <row r="723">
      <c r="K723" s="2"/>
      <c r="L723" s="1"/>
    </row>
    <row r="724">
      <c r="K724" s="2"/>
      <c r="L724" s="1"/>
    </row>
    <row r="725">
      <c r="K725" s="2"/>
      <c r="L725" s="1"/>
    </row>
    <row r="726">
      <c r="K726" s="2"/>
      <c r="L726" s="1"/>
    </row>
    <row r="727">
      <c r="K727" s="2"/>
      <c r="L727" s="1"/>
    </row>
    <row r="728">
      <c r="K728" s="2"/>
      <c r="L728" s="1"/>
    </row>
    <row r="729">
      <c r="K729" s="2"/>
      <c r="L729" s="1"/>
    </row>
    <row r="730">
      <c r="K730" s="2"/>
      <c r="L730" s="1"/>
    </row>
    <row r="731">
      <c r="K731" s="2"/>
      <c r="L731" s="1"/>
    </row>
    <row r="732">
      <c r="K732" s="2"/>
      <c r="L732" s="1"/>
    </row>
    <row r="733">
      <c r="K733" s="2"/>
      <c r="L733" s="1"/>
    </row>
    <row r="734">
      <c r="K734" s="2"/>
      <c r="L734" s="1"/>
    </row>
    <row r="735">
      <c r="K735" s="2"/>
      <c r="L735" s="1"/>
    </row>
    <row r="736">
      <c r="K736" s="2"/>
      <c r="L736" s="1"/>
    </row>
    <row r="737">
      <c r="K737" s="2"/>
      <c r="L737" s="1"/>
    </row>
    <row r="738">
      <c r="K738" s="2"/>
      <c r="L738" s="1"/>
    </row>
    <row r="739">
      <c r="K739" s="2"/>
      <c r="L739" s="1"/>
    </row>
    <row r="740">
      <c r="K740" s="2"/>
      <c r="L740" s="1"/>
    </row>
    <row r="741">
      <c r="K741" s="2"/>
      <c r="L741" s="1"/>
    </row>
    <row r="742">
      <c r="K742" s="2"/>
      <c r="L742" s="1"/>
    </row>
    <row r="743">
      <c r="K743" s="2"/>
      <c r="L743" s="1"/>
    </row>
    <row r="744">
      <c r="K744" s="2"/>
      <c r="L744" s="1"/>
    </row>
    <row r="745">
      <c r="K745" s="2"/>
      <c r="L745" s="1"/>
    </row>
    <row r="746">
      <c r="K746" s="2"/>
      <c r="L746" s="1"/>
    </row>
    <row r="747">
      <c r="K747" s="2"/>
      <c r="L747" s="1"/>
    </row>
    <row r="748">
      <c r="K748" s="2"/>
      <c r="L748" s="1"/>
    </row>
    <row r="749">
      <c r="K749" s="2"/>
      <c r="L749" s="1"/>
    </row>
    <row r="750">
      <c r="K750" s="2"/>
      <c r="L750" s="1"/>
    </row>
    <row r="751">
      <c r="K751" s="2"/>
      <c r="L751" s="1"/>
    </row>
    <row r="752">
      <c r="K752" s="2"/>
      <c r="L752" s="1"/>
    </row>
    <row r="753">
      <c r="K753" s="2"/>
      <c r="L753" s="1"/>
    </row>
    <row r="754">
      <c r="K754" s="2"/>
      <c r="L754" s="1"/>
    </row>
    <row r="755">
      <c r="K755" s="2"/>
      <c r="L755" s="1"/>
    </row>
    <row r="756">
      <c r="K756" s="2"/>
      <c r="L756" s="1"/>
    </row>
    <row r="757">
      <c r="K757" s="2"/>
      <c r="L757" s="1"/>
    </row>
    <row r="758">
      <c r="K758" s="2"/>
      <c r="L758" s="1"/>
    </row>
    <row r="759">
      <c r="K759" s="2"/>
      <c r="L759" s="1"/>
    </row>
    <row r="760">
      <c r="K760" s="2"/>
      <c r="L760" s="1"/>
    </row>
    <row r="761">
      <c r="K761" s="2"/>
      <c r="L761" s="1"/>
    </row>
    <row r="762">
      <c r="K762" s="2"/>
      <c r="L762" s="1"/>
    </row>
    <row r="763">
      <c r="K763" s="2"/>
      <c r="L763" s="1"/>
    </row>
    <row r="764">
      <c r="K764" s="2"/>
      <c r="L764" s="1"/>
    </row>
    <row r="765">
      <c r="K765" s="2"/>
      <c r="L765" s="1"/>
    </row>
    <row r="766">
      <c r="K766" s="2"/>
      <c r="L766" s="1"/>
    </row>
    <row r="767">
      <c r="K767" s="2"/>
      <c r="L767" s="1"/>
    </row>
    <row r="768">
      <c r="K768" s="2"/>
      <c r="L768" s="1"/>
    </row>
    <row r="769">
      <c r="K769" s="2"/>
      <c r="L769" s="1"/>
    </row>
    <row r="770">
      <c r="K770" s="2"/>
      <c r="L770" s="1"/>
    </row>
    <row r="771">
      <c r="K771" s="2"/>
      <c r="L771" s="1"/>
    </row>
    <row r="772">
      <c r="K772" s="2"/>
      <c r="L772" s="1"/>
    </row>
    <row r="773">
      <c r="K773" s="2"/>
      <c r="L773" s="1"/>
    </row>
    <row r="774">
      <c r="K774" s="2"/>
      <c r="L774" s="1"/>
    </row>
    <row r="775">
      <c r="K775" s="2"/>
      <c r="L775" s="1"/>
    </row>
    <row r="776">
      <c r="K776" s="2"/>
      <c r="L776" s="1"/>
    </row>
    <row r="777">
      <c r="K777" s="2"/>
      <c r="L777" s="1"/>
    </row>
    <row r="778">
      <c r="K778" s="2"/>
      <c r="L778" s="1"/>
    </row>
    <row r="779">
      <c r="K779" s="2"/>
      <c r="L779" s="1"/>
    </row>
    <row r="780">
      <c r="K780" s="2"/>
      <c r="L780" s="1"/>
    </row>
    <row r="781">
      <c r="K781" s="2"/>
      <c r="L781" s="1"/>
    </row>
    <row r="782">
      <c r="K782" s="2"/>
      <c r="L782" s="1"/>
    </row>
    <row r="783">
      <c r="K783" s="2"/>
      <c r="L783" s="1"/>
    </row>
    <row r="784">
      <c r="K784" s="2"/>
      <c r="L784" s="1"/>
    </row>
    <row r="785">
      <c r="K785" s="2"/>
      <c r="L785" s="1"/>
    </row>
    <row r="786">
      <c r="K786" s="2"/>
      <c r="L786" s="1"/>
    </row>
    <row r="787">
      <c r="K787" s="2"/>
      <c r="L787" s="1"/>
    </row>
    <row r="788">
      <c r="K788" s="2"/>
      <c r="L788" s="1"/>
    </row>
    <row r="789">
      <c r="K789" s="2"/>
      <c r="L789" s="1"/>
    </row>
    <row r="790">
      <c r="K790" s="2"/>
      <c r="L790" s="1"/>
    </row>
    <row r="791">
      <c r="K791" s="2"/>
      <c r="L791" s="1"/>
    </row>
    <row r="792">
      <c r="K792" s="2"/>
      <c r="L792" s="1"/>
    </row>
    <row r="793">
      <c r="K793" s="2"/>
      <c r="L793" s="1"/>
    </row>
    <row r="794">
      <c r="K794" s="2"/>
      <c r="L794" s="1"/>
    </row>
    <row r="795">
      <c r="K795" s="2"/>
      <c r="L795" s="1"/>
    </row>
    <row r="796">
      <c r="K796" s="2"/>
      <c r="L796" s="1"/>
    </row>
    <row r="797">
      <c r="K797" s="2"/>
      <c r="L797" s="1"/>
    </row>
    <row r="798">
      <c r="K798" s="2"/>
      <c r="L798" s="1"/>
    </row>
    <row r="799">
      <c r="K799" s="2"/>
      <c r="L799" s="1"/>
    </row>
    <row r="800">
      <c r="K800" s="2"/>
      <c r="L800" s="1"/>
    </row>
    <row r="801">
      <c r="K801" s="2"/>
      <c r="L801" s="1"/>
    </row>
    <row r="802">
      <c r="K802" s="2"/>
      <c r="L802" s="1"/>
    </row>
    <row r="803">
      <c r="K803" s="2"/>
      <c r="L803" s="1"/>
    </row>
    <row r="804">
      <c r="K804" s="2"/>
      <c r="L804" s="1"/>
    </row>
    <row r="805">
      <c r="K805" s="2"/>
      <c r="L805" s="1"/>
    </row>
    <row r="806">
      <c r="K806" s="2"/>
      <c r="L806" s="1"/>
    </row>
    <row r="807">
      <c r="K807" s="2"/>
      <c r="L807" s="1"/>
    </row>
    <row r="808">
      <c r="K808" s="2"/>
      <c r="L808" s="1"/>
    </row>
    <row r="809">
      <c r="K809" s="2"/>
      <c r="L809" s="1"/>
    </row>
    <row r="810">
      <c r="K810" s="2"/>
      <c r="L810" s="1"/>
    </row>
    <row r="811">
      <c r="K811" s="2"/>
      <c r="L811" s="1"/>
    </row>
    <row r="812">
      <c r="K812" s="2"/>
      <c r="L812" s="1"/>
    </row>
    <row r="813">
      <c r="K813" s="2"/>
      <c r="L813" s="1"/>
    </row>
    <row r="814">
      <c r="K814" s="2"/>
      <c r="L814" s="1"/>
    </row>
    <row r="815">
      <c r="K815" s="2"/>
      <c r="L815" s="1"/>
    </row>
    <row r="816">
      <c r="K816" s="2"/>
      <c r="L816" s="1"/>
    </row>
    <row r="817">
      <c r="K817" s="2"/>
      <c r="L817" s="1"/>
    </row>
    <row r="818">
      <c r="K818" s="2"/>
      <c r="L818" s="1"/>
    </row>
    <row r="819">
      <c r="K819" s="2"/>
      <c r="L819" s="1"/>
    </row>
    <row r="820">
      <c r="K820" s="2"/>
      <c r="L820" s="1"/>
    </row>
    <row r="821">
      <c r="K821" s="2"/>
      <c r="L821" s="1"/>
    </row>
    <row r="822">
      <c r="K822" s="2"/>
      <c r="L822" s="1"/>
    </row>
    <row r="823">
      <c r="K823" s="2"/>
      <c r="L823" s="1"/>
    </row>
    <row r="824">
      <c r="K824" s="2"/>
      <c r="L824" s="1"/>
    </row>
    <row r="825">
      <c r="K825" s="2"/>
      <c r="L825" s="1"/>
    </row>
    <row r="826">
      <c r="K826" s="2"/>
      <c r="L826" s="1"/>
    </row>
    <row r="827">
      <c r="K827" s="2"/>
      <c r="L827" s="1"/>
    </row>
    <row r="828">
      <c r="K828" s="2"/>
      <c r="L828" s="1"/>
    </row>
    <row r="829">
      <c r="K829" s="2"/>
      <c r="L829" s="1"/>
    </row>
    <row r="830">
      <c r="K830" s="2"/>
      <c r="L830" s="1"/>
    </row>
    <row r="831">
      <c r="K831" s="2"/>
      <c r="L831" s="1"/>
    </row>
    <row r="832">
      <c r="K832" s="2"/>
      <c r="L832" s="1"/>
    </row>
    <row r="833">
      <c r="K833" s="2"/>
      <c r="L833" s="1"/>
    </row>
    <row r="834">
      <c r="K834" s="2"/>
      <c r="L834" s="1"/>
    </row>
    <row r="835">
      <c r="K835" s="2"/>
      <c r="L835" s="1"/>
    </row>
    <row r="836">
      <c r="K836" s="2"/>
      <c r="L836" s="1"/>
    </row>
    <row r="837">
      <c r="K837" s="2"/>
      <c r="L837" s="1"/>
    </row>
    <row r="838">
      <c r="K838" s="2"/>
      <c r="L838" s="1"/>
    </row>
    <row r="839">
      <c r="K839" s="2"/>
      <c r="L839" s="1"/>
    </row>
    <row r="840">
      <c r="K840" s="2"/>
      <c r="L840" s="1"/>
    </row>
    <row r="841">
      <c r="K841" s="2"/>
      <c r="L841" s="1"/>
    </row>
    <row r="842">
      <c r="K842" s="2"/>
      <c r="L842" s="1"/>
    </row>
    <row r="843">
      <c r="K843" s="2"/>
      <c r="L843" s="1"/>
    </row>
    <row r="844">
      <c r="K844" s="2"/>
      <c r="L844" s="1"/>
    </row>
    <row r="845">
      <c r="K845" s="2"/>
      <c r="L845" s="1"/>
    </row>
    <row r="846">
      <c r="K846" s="2"/>
      <c r="L846" s="1"/>
    </row>
    <row r="847">
      <c r="K847" s="2"/>
      <c r="L847" s="1"/>
    </row>
    <row r="848">
      <c r="K848" s="2"/>
      <c r="L848" s="1"/>
    </row>
    <row r="849">
      <c r="K849" s="2"/>
      <c r="L849" s="1"/>
    </row>
    <row r="850">
      <c r="K850" s="2"/>
      <c r="L850" s="1"/>
    </row>
    <row r="851">
      <c r="K851" s="2"/>
      <c r="L851" s="1"/>
    </row>
    <row r="852">
      <c r="K852" s="2"/>
      <c r="L852" s="1"/>
    </row>
    <row r="853">
      <c r="K853" s="2"/>
      <c r="L853" s="1"/>
    </row>
    <row r="854">
      <c r="K854" s="2"/>
      <c r="L854" s="1"/>
    </row>
    <row r="855">
      <c r="K855" s="2"/>
      <c r="L855" s="1"/>
    </row>
    <row r="856">
      <c r="K856" s="2"/>
      <c r="L856" s="1"/>
    </row>
    <row r="857">
      <c r="K857" s="2"/>
      <c r="L857" s="1"/>
    </row>
    <row r="858">
      <c r="K858" s="2"/>
      <c r="L858" s="1"/>
    </row>
    <row r="859">
      <c r="K859" s="2"/>
      <c r="L859" s="1"/>
    </row>
    <row r="860">
      <c r="K860" s="2"/>
      <c r="L860" s="1"/>
    </row>
    <row r="861">
      <c r="K861" s="2"/>
      <c r="L861" s="1"/>
    </row>
    <row r="862">
      <c r="K862" s="2"/>
      <c r="L862" s="1"/>
    </row>
    <row r="863">
      <c r="K863" s="2"/>
      <c r="L863" s="1"/>
    </row>
    <row r="864">
      <c r="K864" s="2"/>
      <c r="L864" s="1"/>
    </row>
    <row r="865">
      <c r="K865" s="2"/>
      <c r="L865" s="1"/>
    </row>
    <row r="866">
      <c r="K866" s="2"/>
      <c r="L866" s="1"/>
    </row>
    <row r="867">
      <c r="K867" s="2"/>
      <c r="L867" s="1"/>
    </row>
    <row r="868">
      <c r="K868" s="2"/>
      <c r="L868" s="1"/>
    </row>
    <row r="869">
      <c r="K869" s="2"/>
      <c r="L869" s="1"/>
    </row>
    <row r="870">
      <c r="K870" s="2"/>
      <c r="L870" s="1"/>
    </row>
    <row r="871">
      <c r="K871" s="2"/>
      <c r="L871" s="1"/>
    </row>
    <row r="872">
      <c r="K872" s="2"/>
      <c r="L872" s="1"/>
    </row>
    <row r="873">
      <c r="K873" s="2"/>
      <c r="L873" s="1"/>
    </row>
    <row r="874">
      <c r="K874" s="2"/>
      <c r="L874" s="1"/>
    </row>
    <row r="875">
      <c r="K875" s="2"/>
      <c r="L875" s="1"/>
    </row>
    <row r="876">
      <c r="K876" s="2"/>
      <c r="L876" s="1"/>
    </row>
    <row r="877">
      <c r="K877" s="2"/>
      <c r="L877" s="1"/>
    </row>
    <row r="878">
      <c r="K878" s="2"/>
      <c r="L878" s="1"/>
    </row>
    <row r="879">
      <c r="K879" s="2"/>
      <c r="L879" s="1"/>
    </row>
    <row r="880">
      <c r="K880" s="2"/>
      <c r="L880" s="1"/>
    </row>
    <row r="881">
      <c r="K881" s="2"/>
      <c r="L881" s="1"/>
    </row>
    <row r="882">
      <c r="K882" s="2"/>
      <c r="L882" s="1"/>
    </row>
    <row r="883">
      <c r="K883" s="2"/>
      <c r="L883" s="1"/>
    </row>
    <row r="884">
      <c r="K884" s="2"/>
      <c r="L884" s="1"/>
    </row>
    <row r="885">
      <c r="K885" s="2"/>
      <c r="L885" s="1"/>
    </row>
    <row r="886">
      <c r="K886" s="2"/>
      <c r="L886" s="1"/>
    </row>
    <row r="887">
      <c r="K887" s="2"/>
      <c r="L887" s="1"/>
    </row>
    <row r="888">
      <c r="K888" s="2"/>
      <c r="L888" s="1"/>
    </row>
    <row r="889">
      <c r="K889" s="2"/>
      <c r="L889" s="1"/>
    </row>
    <row r="890">
      <c r="K890" s="2"/>
      <c r="L890" s="1"/>
    </row>
    <row r="891">
      <c r="K891" s="2"/>
      <c r="L891" s="1"/>
    </row>
    <row r="892">
      <c r="K892" s="2"/>
      <c r="L892" s="1"/>
    </row>
    <row r="893">
      <c r="K893" s="2"/>
      <c r="L893" s="1"/>
    </row>
    <row r="894">
      <c r="K894" s="2"/>
      <c r="L894" s="1"/>
    </row>
    <row r="895">
      <c r="K895" s="2"/>
      <c r="L895" s="1"/>
    </row>
    <row r="896">
      <c r="K896" s="2"/>
      <c r="L896" s="1"/>
    </row>
    <row r="897">
      <c r="K897" s="2"/>
      <c r="L897" s="1"/>
    </row>
    <row r="898">
      <c r="K898" s="2"/>
      <c r="L898" s="1"/>
    </row>
    <row r="899">
      <c r="K899" s="2"/>
      <c r="L899" s="1"/>
    </row>
    <row r="900">
      <c r="K900" s="2"/>
      <c r="L900" s="1"/>
    </row>
    <row r="901">
      <c r="K901" s="2"/>
      <c r="L901" s="1"/>
    </row>
    <row r="902">
      <c r="K902" s="2"/>
      <c r="L902" s="1"/>
    </row>
    <row r="903">
      <c r="K903" s="2"/>
      <c r="L903" s="1"/>
    </row>
    <row r="904">
      <c r="K904" s="2"/>
      <c r="L904" s="1"/>
    </row>
    <row r="905">
      <c r="K905" s="2"/>
      <c r="L905" s="1"/>
    </row>
    <row r="906">
      <c r="K906" s="2"/>
      <c r="L906" s="1"/>
    </row>
    <row r="907">
      <c r="K907" s="2"/>
      <c r="L907" s="1"/>
    </row>
    <row r="908">
      <c r="K908" s="2"/>
      <c r="L908" s="1"/>
    </row>
    <row r="909">
      <c r="K909" s="2"/>
      <c r="L909" s="1"/>
    </row>
    <row r="910">
      <c r="K910" s="2"/>
      <c r="L910" s="1"/>
    </row>
    <row r="911">
      <c r="K911" s="2"/>
      <c r="L911" s="1"/>
    </row>
    <row r="912">
      <c r="K912" s="2"/>
      <c r="L912" s="1"/>
    </row>
    <row r="913">
      <c r="K913" s="2"/>
      <c r="L913" s="1"/>
    </row>
    <row r="914">
      <c r="K914" s="2"/>
      <c r="L914" s="1"/>
    </row>
    <row r="915">
      <c r="K915" s="2"/>
      <c r="L915" s="1"/>
    </row>
    <row r="916">
      <c r="K916" s="2"/>
      <c r="L916" s="1"/>
    </row>
    <row r="917">
      <c r="K917" s="2"/>
      <c r="L917" s="1"/>
    </row>
    <row r="918">
      <c r="K918" s="2"/>
      <c r="L918" s="1"/>
    </row>
    <row r="919">
      <c r="K919" s="2"/>
      <c r="L919" s="1"/>
    </row>
    <row r="920">
      <c r="K920" s="2"/>
      <c r="L920" s="1"/>
    </row>
    <row r="921">
      <c r="K921" s="2"/>
      <c r="L921" s="1"/>
    </row>
    <row r="922">
      <c r="K922" s="2"/>
      <c r="L922" s="1"/>
    </row>
    <row r="923">
      <c r="K923" s="2"/>
      <c r="L923" s="1"/>
    </row>
    <row r="924">
      <c r="K924" s="2"/>
      <c r="L924" s="1"/>
    </row>
    <row r="925">
      <c r="K925" s="2"/>
      <c r="L925" s="1"/>
    </row>
    <row r="926">
      <c r="K926" s="2"/>
      <c r="L926" s="1"/>
    </row>
    <row r="927">
      <c r="K927" s="2"/>
      <c r="L927" s="1"/>
    </row>
    <row r="928">
      <c r="K928" s="2"/>
      <c r="L928" s="1"/>
    </row>
    <row r="929">
      <c r="K929" s="2"/>
      <c r="L929" s="1"/>
    </row>
    <row r="930">
      <c r="K930" s="2"/>
      <c r="L930" s="1"/>
    </row>
    <row r="931">
      <c r="K931" s="2"/>
      <c r="L931" s="1"/>
    </row>
    <row r="932">
      <c r="K932" s="2"/>
      <c r="L932" s="1"/>
    </row>
    <row r="933">
      <c r="K933" s="2"/>
      <c r="L933" s="1"/>
    </row>
    <row r="934">
      <c r="K934" s="2"/>
      <c r="L934" s="1"/>
    </row>
    <row r="935">
      <c r="K935" s="2"/>
      <c r="L935" s="1"/>
    </row>
    <row r="936">
      <c r="K936" s="2"/>
      <c r="L936" s="1"/>
    </row>
    <row r="937">
      <c r="K937" s="2"/>
      <c r="L937" s="1"/>
    </row>
    <row r="938">
      <c r="K938" s="2"/>
      <c r="L938" s="1"/>
    </row>
    <row r="939">
      <c r="K939" s="2"/>
      <c r="L939" s="1"/>
    </row>
    <row r="940">
      <c r="K940" s="2"/>
      <c r="L940" s="1"/>
    </row>
    <row r="941">
      <c r="K941" s="2"/>
      <c r="L941" s="1"/>
    </row>
    <row r="942">
      <c r="K942" s="2"/>
      <c r="L942" s="1"/>
    </row>
    <row r="943">
      <c r="K943" s="2"/>
      <c r="L943" s="1"/>
    </row>
    <row r="944">
      <c r="K944" s="2"/>
      <c r="L944" s="1"/>
    </row>
    <row r="945">
      <c r="K945" s="2"/>
      <c r="L945" s="1"/>
    </row>
    <row r="946">
      <c r="K946" s="2"/>
      <c r="L946" s="1"/>
    </row>
    <row r="947">
      <c r="K947" s="2"/>
      <c r="L947" s="1"/>
    </row>
    <row r="948">
      <c r="K948" s="2"/>
      <c r="L948" s="1"/>
    </row>
    <row r="949">
      <c r="K949" s="2"/>
      <c r="L949" s="1"/>
    </row>
    <row r="950">
      <c r="K950" s="2"/>
      <c r="L950" s="1"/>
    </row>
    <row r="951">
      <c r="K951" s="2"/>
      <c r="L951" s="1"/>
    </row>
    <row r="952">
      <c r="K952" s="2"/>
      <c r="L952" s="1"/>
    </row>
    <row r="953">
      <c r="K953" s="2"/>
      <c r="L953" s="1"/>
    </row>
    <row r="954">
      <c r="K954" s="2"/>
      <c r="L954" s="1"/>
    </row>
    <row r="955">
      <c r="K955" s="2"/>
      <c r="L955" s="1"/>
    </row>
    <row r="956">
      <c r="K956" s="2"/>
      <c r="L956" s="1"/>
    </row>
    <row r="957">
      <c r="K957" s="2"/>
      <c r="L957" s="1"/>
    </row>
    <row r="958">
      <c r="K958" s="2"/>
      <c r="L958" s="1"/>
    </row>
    <row r="959">
      <c r="K959" s="2"/>
      <c r="L959" s="1"/>
    </row>
    <row r="960">
      <c r="K960" s="2"/>
      <c r="L960" s="1"/>
    </row>
    <row r="961">
      <c r="K961" s="2"/>
      <c r="L961" s="1"/>
    </row>
    <row r="962">
      <c r="K962" s="2"/>
      <c r="L962" s="1"/>
    </row>
    <row r="963">
      <c r="K963" s="2"/>
      <c r="L963" s="1"/>
    </row>
    <row r="964">
      <c r="K964" s="2"/>
      <c r="L964" s="1"/>
    </row>
    <row r="965">
      <c r="K965" s="2"/>
      <c r="L965" s="1"/>
    </row>
    <row r="966">
      <c r="K966" s="2"/>
      <c r="L966" s="1"/>
    </row>
    <row r="967">
      <c r="K967" s="2"/>
      <c r="L967" s="1"/>
    </row>
    <row r="968">
      <c r="K968" s="2"/>
      <c r="L968" s="1"/>
    </row>
    <row r="969">
      <c r="K969" s="2"/>
      <c r="L969" s="1"/>
    </row>
    <row r="970">
      <c r="K970" s="2"/>
      <c r="L970" s="1"/>
    </row>
    <row r="971">
      <c r="K971" s="2"/>
      <c r="L971" s="1"/>
    </row>
    <row r="972">
      <c r="K972" s="2"/>
      <c r="L972" s="1"/>
    </row>
    <row r="973">
      <c r="K973" s="2"/>
      <c r="L973" s="1"/>
    </row>
    <row r="974">
      <c r="K974" s="2"/>
      <c r="L974" s="1"/>
    </row>
    <row r="975">
      <c r="K975" s="2"/>
      <c r="L975" s="1"/>
    </row>
    <row r="976">
      <c r="K976" s="2"/>
      <c r="L976" s="1"/>
    </row>
    <row r="977">
      <c r="K977" s="2"/>
      <c r="L977" s="1"/>
    </row>
    <row r="978">
      <c r="K978" s="2"/>
      <c r="L978" s="1"/>
    </row>
    <row r="979">
      <c r="K979" s="2"/>
      <c r="L979" s="1"/>
    </row>
    <row r="980">
      <c r="K980" s="2"/>
      <c r="L980" s="1"/>
    </row>
    <row r="981">
      <c r="K981" s="2"/>
      <c r="L981" s="1"/>
    </row>
    <row r="982">
      <c r="K982" s="2"/>
      <c r="L982" s="1"/>
    </row>
    <row r="983">
      <c r="K983" s="2"/>
      <c r="L983" s="1"/>
    </row>
    <row r="984">
      <c r="K984" s="2"/>
      <c r="L984" s="1"/>
    </row>
    <row r="985">
      <c r="K985" s="2"/>
      <c r="L985" s="1"/>
    </row>
    <row r="986">
      <c r="K986" s="2"/>
      <c r="L986" s="1"/>
    </row>
    <row r="987">
      <c r="K987" s="2"/>
      <c r="L987" s="1"/>
    </row>
    <row r="988">
      <c r="K988" s="2"/>
      <c r="L988" s="1"/>
    </row>
    <row r="989">
      <c r="K989" s="2"/>
      <c r="L989" s="1"/>
    </row>
    <row r="990">
      <c r="K990" s="2"/>
      <c r="L990" s="1"/>
    </row>
    <row r="991">
      <c r="K991" s="2"/>
      <c r="L991" s="1"/>
    </row>
    <row r="992">
      <c r="K992" s="2"/>
      <c r="L992" s="1"/>
    </row>
    <row r="993">
      <c r="K993" s="2"/>
      <c r="L993" s="1"/>
    </row>
    <row r="994">
      <c r="K994" s="2"/>
      <c r="L994" s="1"/>
    </row>
    <row r="995">
      <c r="K995" s="2"/>
      <c r="L995" s="1"/>
    </row>
    <row r="996">
      <c r="K996" s="2"/>
      <c r="L996" s="1"/>
    </row>
    <row r="997">
      <c r="K997" s="2"/>
      <c r="L997" s="1"/>
    </row>
    <row r="998">
      <c r="K998" s="2"/>
      <c r="L998" s="1"/>
    </row>
    <row r="999">
      <c r="K999" s="2"/>
      <c r="L999" s="1"/>
    </row>
    <row r="1000">
      <c r="K1000" s="2"/>
      <c r="L1000" s="1"/>
    </row>
  </sheetData>
  <dataValidations>
    <dataValidation type="list" allowBlank="1" showErrorMessage="1" sqref="L1:L1000">
      <formula1>"YES,NO,Approved for use?"</formula1>
    </dataValidation>
  </dataValidations>
  <hyperlinks>
    <hyperlink r:id="rId1" ref="K2"/>
    <hyperlink r:id="rId2" ref="K3"/>
    <hyperlink r:id="rId3" ref="K4"/>
    <hyperlink r:id="rId4" ref="K5"/>
    <hyperlink r:id="rId5" ref="K6"/>
    <hyperlink r:id="rId6" ref="K7"/>
    <hyperlink r:id="rId7" ref="K8"/>
    <hyperlink r:id="rId8" ref="K9"/>
    <hyperlink r:id="rId9" ref="K10"/>
    <hyperlink r:id="rId10" ref="K11"/>
    <hyperlink r:id="rId11" ref="K12"/>
    <hyperlink r:id="rId12" ref="K13"/>
    <hyperlink r:id="rId13" ref="K14"/>
    <hyperlink r:id="rId14" ref="K15"/>
    <hyperlink r:id="rId15" ref="K16"/>
    <hyperlink r:id="rId16" ref="K17"/>
    <hyperlink r:id="rId17" ref="K18"/>
    <hyperlink r:id="rId18" ref="K19"/>
    <hyperlink r:id="rId19" ref="K20"/>
    <hyperlink r:id="rId20" ref="K22"/>
    <hyperlink r:id="rId21" ref="K23"/>
    <hyperlink r:id="rId22" ref="K26"/>
    <hyperlink r:id="rId23" ref="K28"/>
    <hyperlink r:id="rId24" ref="K29"/>
    <hyperlink r:id="rId25" ref="K30"/>
    <hyperlink r:id="rId26" ref="K31"/>
    <hyperlink r:id="rId27" ref="K32"/>
    <hyperlink r:id="rId28" ref="K33"/>
    <hyperlink r:id="rId29" ref="K34"/>
    <hyperlink r:id="rId30" ref="K35"/>
    <hyperlink r:id="rId31" ref="K36"/>
    <hyperlink r:id="rId32" ref="K37"/>
    <hyperlink r:id="rId33" ref="K38"/>
    <hyperlink r:id="rId34" ref="K39"/>
    <hyperlink r:id="rId35" ref="K40"/>
    <hyperlink r:id="rId36" ref="K41"/>
    <hyperlink r:id="rId37" ref="K42"/>
    <hyperlink r:id="rId38" ref="K43"/>
    <hyperlink r:id="rId39" ref="K44"/>
    <hyperlink r:id="rId40" ref="K45"/>
    <hyperlink r:id="rId41" ref="K46"/>
    <hyperlink r:id="rId42" ref="K47"/>
    <hyperlink r:id="rId43" ref="K48"/>
    <hyperlink r:id="rId44" ref="K49"/>
    <hyperlink r:id="rId45" ref="K50"/>
    <hyperlink r:id="rId46" ref="K51"/>
    <hyperlink r:id="rId47" ref="K52"/>
    <hyperlink r:id="rId48" ref="K53"/>
    <hyperlink r:id="rId49" ref="K54"/>
    <hyperlink r:id="rId50" ref="K55"/>
    <hyperlink r:id="rId51" ref="K56"/>
    <hyperlink r:id="rId52" ref="K57"/>
    <hyperlink r:id="rId53" ref="K58"/>
    <hyperlink r:id="rId54" ref="K59"/>
    <hyperlink r:id="rId55" ref="K60"/>
    <hyperlink r:id="rId56" ref="K61"/>
    <hyperlink r:id="rId57" ref="K62"/>
    <hyperlink r:id="rId58" ref="K63"/>
    <hyperlink r:id="rId59" ref="K64"/>
    <hyperlink r:id="rId60" ref="K65"/>
    <hyperlink r:id="rId61" ref="K66"/>
    <hyperlink r:id="rId62" ref="K67"/>
    <hyperlink r:id="rId63" ref="K68"/>
    <hyperlink r:id="rId64" ref="K69"/>
    <hyperlink r:id="rId65" ref="K70"/>
    <hyperlink r:id="rId66" ref="K71"/>
    <hyperlink r:id="rId67" ref="K72"/>
    <hyperlink r:id="rId68" ref="K73"/>
    <hyperlink r:id="rId69" ref="K74"/>
    <hyperlink r:id="rId70" ref="K75"/>
    <hyperlink r:id="rId71" ref="K76"/>
    <hyperlink r:id="rId72" ref="K77"/>
    <hyperlink r:id="rId73" ref="K78"/>
    <hyperlink r:id="rId74" ref="K79"/>
    <hyperlink r:id="rId75" ref="K80"/>
    <hyperlink r:id="rId76" ref="K81"/>
    <hyperlink r:id="rId77" ref="K82"/>
    <hyperlink r:id="rId78" ref="K83"/>
    <hyperlink r:id="rId79" ref="K84"/>
    <hyperlink r:id="rId80" ref="K85"/>
    <hyperlink r:id="rId81" ref="K86"/>
    <hyperlink r:id="rId82" ref="K87"/>
    <hyperlink r:id="rId83" ref="K88"/>
    <hyperlink r:id="rId84" ref="K89"/>
    <hyperlink r:id="rId85" ref="K90"/>
    <hyperlink r:id="rId86" ref="K91"/>
    <hyperlink r:id="rId87" ref="K92"/>
    <hyperlink r:id="rId88" ref="K93"/>
    <hyperlink r:id="rId89" ref="K94"/>
    <hyperlink r:id="rId90" ref="K95"/>
    <hyperlink r:id="rId91" ref="K96"/>
    <hyperlink r:id="rId92" ref="K97"/>
    <hyperlink r:id="rId93" ref="K98"/>
    <hyperlink r:id="rId94" ref="K99"/>
    <hyperlink r:id="rId95" ref="K100"/>
    <hyperlink r:id="rId96" ref="K101"/>
    <hyperlink r:id="rId97" ref="K103"/>
    <hyperlink r:id="rId98" ref="K104"/>
    <hyperlink r:id="rId99" ref="K105"/>
    <hyperlink r:id="rId100" ref="K108"/>
    <hyperlink r:id="rId101" ref="K109"/>
    <hyperlink r:id="rId102" ref="K110"/>
    <hyperlink r:id="rId103" ref="K111"/>
    <hyperlink r:id="rId104" ref="K112"/>
    <hyperlink r:id="rId105" ref="K113"/>
    <hyperlink r:id="rId106" ref="K114"/>
    <hyperlink r:id="rId107" ref="K115"/>
    <hyperlink r:id="rId108" ref="K116"/>
    <hyperlink r:id="rId109" ref="K117"/>
    <hyperlink r:id="rId110" ref="K118"/>
    <hyperlink r:id="rId111" ref="K119"/>
    <hyperlink r:id="rId112" ref="K120"/>
    <hyperlink r:id="rId113" ref="K121"/>
    <hyperlink r:id="rId114" ref="K122"/>
    <hyperlink r:id="rId115" ref="K123"/>
    <hyperlink r:id="rId116" ref="K124"/>
    <hyperlink r:id="rId117" ref="K125"/>
    <hyperlink r:id="rId118" ref="K126"/>
    <hyperlink r:id="rId119" ref="K127"/>
    <hyperlink r:id="rId120" ref="K128"/>
    <hyperlink r:id="rId121" ref="K129"/>
    <hyperlink r:id="rId122" ref="K130"/>
    <hyperlink r:id="rId123" ref="K131"/>
    <hyperlink r:id="rId124" ref="K132"/>
    <hyperlink r:id="rId125" ref="K133"/>
    <hyperlink r:id="rId126" ref="K134"/>
    <hyperlink r:id="rId127" ref="K135"/>
    <hyperlink r:id="rId128" ref="K136"/>
    <hyperlink r:id="rId129" ref="K137"/>
    <hyperlink r:id="rId130" ref="K138"/>
    <hyperlink r:id="rId131" ref="K139"/>
    <hyperlink r:id="rId132" ref="K140"/>
    <hyperlink r:id="rId133" ref="K141"/>
    <hyperlink r:id="rId134" ref="K142"/>
    <hyperlink r:id="rId135" ref="K143"/>
    <hyperlink r:id="rId136" ref="K144"/>
    <hyperlink r:id="rId137" ref="K145"/>
    <hyperlink r:id="rId138" ref="K146"/>
    <hyperlink r:id="rId139" ref="K147"/>
    <hyperlink r:id="rId140" ref="K148"/>
    <hyperlink r:id="rId141" ref="K149"/>
    <hyperlink r:id="rId142" ref="K150"/>
    <hyperlink r:id="rId143" ref="K151"/>
    <hyperlink r:id="rId144" ref="K152"/>
    <hyperlink r:id="rId145" ref="K153"/>
    <hyperlink r:id="rId146" ref="K154"/>
    <hyperlink r:id="rId147" ref="K155"/>
    <hyperlink r:id="rId148" ref="K156"/>
    <hyperlink r:id="rId149" ref="K157"/>
    <hyperlink r:id="rId150" ref="K158"/>
    <hyperlink r:id="rId151" ref="K159"/>
    <hyperlink r:id="rId152" ref="K160"/>
    <hyperlink r:id="rId153" ref="K161"/>
    <hyperlink r:id="rId154" ref="K162"/>
    <hyperlink r:id="rId155" ref="K163"/>
    <hyperlink r:id="rId156" ref="K164"/>
    <hyperlink r:id="rId157" ref="K165"/>
    <hyperlink r:id="rId158" ref="K166"/>
    <hyperlink r:id="rId159" ref="K167"/>
    <hyperlink r:id="rId160" ref="K168"/>
    <hyperlink r:id="rId161" ref="K169"/>
    <hyperlink r:id="rId162" ref="K170"/>
    <hyperlink r:id="rId163" ref="K171"/>
    <hyperlink r:id="rId164" ref="K172"/>
    <hyperlink r:id="rId165" ref="K173"/>
    <hyperlink r:id="rId166" ref="K174"/>
    <hyperlink r:id="rId167" ref="K175"/>
    <hyperlink r:id="rId168" ref="K176"/>
    <hyperlink r:id="rId169" ref="K177"/>
    <hyperlink r:id="rId170" ref="K178"/>
    <hyperlink r:id="rId171" ref="K179"/>
    <hyperlink r:id="rId172" ref="K180"/>
    <hyperlink r:id="rId173" ref="K181"/>
    <hyperlink r:id="rId174" ref="K182"/>
    <hyperlink r:id="rId175" ref="K183"/>
    <hyperlink r:id="rId176" ref="K184"/>
    <hyperlink r:id="rId177" ref="K185"/>
    <hyperlink r:id="rId178" ref="K186"/>
    <hyperlink r:id="rId179" ref="K187"/>
    <hyperlink r:id="rId180" ref="K188"/>
    <hyperlink r:id="rId181" ref="K189"/>
    <hyperlink r:id="rId182" ref="K190"/>
    <hyperlink r:id="rId183" ref="K191"/>
    <hyperlink r:id="rId184" ref="K192"/>
    <hyperlink r:id="rId185" ref="K193"/>
    <hyperlink r:id="rId186" ref="K194"/>
    <hyperlink r:id="rId187" ref="K195"/>
    <hyperlink r:id="rId188" ref="K196"/>
    <hyperlink r:id="rId189" ref="K197"/>
    <hyperlink r:id="rId190" ref="K198"/>
    <hyperlink r:id="rId191" ref="K199"/>
    <hyperlink r:id="rId192" ref="K200"/>
    <hyperlink r:id="rId193" ref="K201"/>
    <hyperlink r:id="rId194" ref="K202"/>
    <hyperlink r:id="rId195" ref="K203"/>
    <hyperlink r:id="rId196" ref="K204"/>
    <hyperlink r:id="rId197" ref="K205"/>
    <hyperlink r:id="rId198" ref="K206"/>
    <hyperlink r:id="rId199" ref="K207"/>
    <hyperlink r:id="rId200" ref="K208"/>
    <hyperlink r:id="rId201" ref="K209"/>
    <hyperlink r:id="rId202" ref="K210"/>
    <hyperlink r:id="rId203" ref="K211"/>
    <hyperlink r:id="rId204" ref="K212"/>
    <hyperlink r:id="rId205" ref="K213"/>
    <hyperlink r:id="rId206" ref="K214"/>
    <hyperlink r:id="rId207" ref="K215"/>
    <hyperlink r:id="rId208" ref="K216"/>
    <hyperlink r:id="rId209" ref="K217"/>
    <hyperlink r:id="rId210" ref="K218"/>
    <hyperlink r:id="rId211" ref="K219"/>
    <hyperlink r:id="rId212" ref="K220"/>
    <hyperlink r:id="rId213" ref="K221"/>
    <hyperlink r:id="rId214" ref="K222"/>
    <hyperlink r:id="rId215" ref="K223"/>
    <hyperlink r:id="rId216" ref="K224"/>
    <hyperlink r:id="rId217" ref="K225"/>
    <hyperlink r:id="rId218" ref="K226"/>
    <hyperlink r:id="rId219" ref="K227"/>
    <hyperlink r:id="rId220" ref="K228"/>
    <hyperlink r:id="rId221" ref="K229"/>
    <hyperlink r:id="rId222" ref="K230"/>
    <hyperlink r:id="rId223" ref="K231"/>
    <hyperlink r:id="rId224" ref="C232"/>
    <hyperlink r:id="rId225" ref="K232"/>
    <hyperlink r:id="rId226" ref="K233"/>
    <hyperlink r:id="rId227" ref="K234"/>
    <hyperlink r:id="rId228" ref="K235"/>
    <hyperlink r:id="rId229" ref="K236"/>
    <hyperlink r:id="rId230" ref="K237"/>
    <hyperlink r:id="rId231" ref="K238"/>
    <hyperlink r:id="rId232" ref="K239"/>
    <hyperlink r:id="rId233" ref="K240"/>
    <hyperlink r:id="rId234" ref="K241"/>
    <hyperlink r:id="rId235" ref="K242"/>
    <hyperlink r:id="rId236" ref="K243"/>
    <hyperlink r:id="rId237" ref="K244"/>
    <hyperlink r:id="rId238" ref="K245"/>
    <hyperlink r:id="rId239" ref="K246"/>
    <hyperlink r:id="rId240" ref="K247"/>
    <hyperlink r:id="rId241" ref="K248"/>
    <hyperlink r:id="rId242" ref="K249"/>
    <hyperlink r:id="rId243" ref="K250"/>
    <hyperlink r:id="rId244" ref="K251"/>
    <hyperlink r:id="rId245" ref="K252"/>
    <hyperlink r:id="rId246" ref="K253"/>
    <hyperlink r:id="rId247" ref="K254"/>
    <hyperlink r:id="rId248" ref="K256"/>
    <hyperlink r:id="rId249" ref="K257"/>
    <hyperlink r:id="rId250" ref="K258"/>
    <hyperlink r:id="rId251" ref="K259"/>
    <hyperlink r:id="rId252" ref="K260"/>
    <hyperlink r:id="rId253" ref="K261"/>
    <hyperlink r:id="rId254" ref="K262"/>
    <hyperlink r:id="rId255" ref="K263"/>
    <hyperlink r:id="rId256" ref="K264"/>
    <hyperlink r:id="rId257" ref="K265"/>
    <hyperlink r:id="rId258" ref="K266"/>
    <hyperlink r:id="rId259" ref="K267"/>
    <hyperlink r:id="rId260" ref="K268"/>
    <hyperlink r:id="rId261" ref="K269"/>
    <hyperlink r:id="rId262" ref="K270"/>
    <hyperlink r:id="rId263" ref="K271"/>
    <hyperlink r:id="rId264" ref="K272"/>
    <hyperlink r:id="rId265" ref="K273"/>
    <hyperlink r:id="rId266" ref="K274"/>
    <hyperlink r:id="rId267" ref="K275"/>
    <hyperlink r:id="rId268" ref="K276"/>
    <hyperlink r:id="rId269" ref="K277"/>
    <hyperlink r:id="rId270" ref="K278"/>
    <hyperlink r:id="rId271" ref="K279"/>
    <hyperlink r:id="rId272" ref="K280"/>
    <hyperlink r:id="rId273" ref="K281"/>
    <hyperlink r:id="rId274" ref="K282"/>
    <hyperlink r:id="rId275" ref="K283"/>
    <hyperlink r:id="rId276" ref="K284"/>
    <hyperlink r:id="rId277" ref="K285"/>
    <hyperlink r:id="rId278" ref="K286"/>
    <hyperlink r:id="rId279" ref="K287"/>
    <hyperlink r:id="rId280" ref="K288"/>
  </hyperlinks>
  <drawing r:id="rId28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1" t="s">
        <v>379</v>
      </c>
      <c r="B2" s="1" t="s">
        <v>380</v>
      </c>
      <c r="C2" s="1" t="s">
        <v>14</v>
      </c>
      <c r="D2" s="1" t="s">
        <v>381</v>
      </c>
      <c r="E2" s="1" t="s">
        <v>382</v>
      </c>
      <c r="G2" s="1" t="s">
        <v>207</v>
      </c>
      <c r="H2" s="1" t="s">
        <v>19</v>
      </c>
      <c r="I2" s="6" t="s">
        <v>383</v>
      </c>
    </row>
    <row r="3" ht="97.5" hidden="1" customHeight="1">
      <c r="A3" s="1" t="s">
        <v>384</v>
      </c>
      <c r="B3" s="1" t="s">
        <v>385</v>
      </c>
      <c r="C3" s="1" t="s">
        <v>33</v>
      </c>
      <c r="D3" s="1" t="s">
        <v>386</v>
      </c>
      <c r="E3" s="1" t="s">
        <v>387</v>
      </c>
      <c r="F3" s="1" t="s">
        <v>388</v>
      </c>
      <c r="G3" s="1" t="s">
        <v>18</v>
      </c>
      <c r="H3" s="1" t="s">
        <v>19</v>
      </c>
      <c r="I3" s="6" t="s">
        <v>389</v>
      </c>
    </row>
    <row r="4" ht="63.75" hidden="1" customHeight="1">
      <c r="A4" s="17"/>
      <c r="B4" s="17"/>
      <c r="C4" s="18"/>
      <c r="D4" s="17"/>
      <c r="E4" s="17"/>
      <c r="F4" s="17"/>
      <c r="G4" s="18"/>
      <c r="H4" s="18"/>
      <c r="I4" s="19"/>
      <c r="J4" s="20"/>
      <c r="K4" s="20"/>
      <c r="L4" s="20"/>
      <c r="M4" s="20"/>
      <c r="N4" s="20"/>
      <c r="O4" s="20"/>
      <c r="P4" s="20"/>
      <c r="Q4" s="20"/>
      <c r="R4" s="20"/>
      <c r="S4" s="20"/>
      <c r="T4" s="20"/>
      <c r="U4" s="20"/>
      <c r="V4" s="20"/>
      <c r="W4" s="20"/>
      <c r="X4" s="20"/>
      <c r="Y4" s="20"/>
      <c r="Z4" s="20"/>
    </row>
    <row r="5" ht="97.5" hidden="1" customHeight="1">
      <c r="A5" s="17"/>
      <c r="B5" s="17"/>
      <c r="C5" s="18"/>
      <c r="D5" s="17"/>
      <c r="E5" s="17"/>
      <c r="F5" s="17"/>
      <c r="G5" s="18"/>
      <c r="H5" s="18"/>
      <c r="I5" s="19"/>
      <c r="J5" s="20"/>
      <c r="K5" s="20"/>
      <c r="L5" s="20"/>
      <c r="M5" s="20"/>
      <c r="N5" s="20"/>
      <c r="O5" s="20"/>
      <c r="P5" s="20"/>
      <c r="Q5" s="20"/>
      <c r="R5" s="20"/>
      <c r="S5" s="20"/>
      <c r="T5" s="20"/>
      <c r="U5" s="20"/>
      <c r="V5" s="20"/>
      <c r="W5" s="20"/>
      <c r="X5" s="20"/>
      <c r="Y5" s="20"/>
      <c r="Z5" s="20"/>
    </row>
    <row r="6" ht="77.25" hidden="1" customHeight="1">
      <c r="A6" s="17"/>
      <c r="B6" s="17"/>
      <c r="C6" s="18"/>
      <c r="D6" s="17"/>
      <c r="E6" s="17"/>
      <c r="F6" s="21"/>
      <c r="G6" s="18"/>
      <c r="H6" s="18"/>
      <c r="I6" s="22"/>
      <c r="J6" s="20"/>
      <c r="K6" s="20"/>
      <c r="L6" s="20"/>
      <c r="M6" s="20"/>
      <c r="N6" s="20"/>
      <c r="O6" s="20"/>
      <c r="P6" s="20"/>
      <c r="Q6" s="20"/>
      <c r="R6" s="20"/>
      <c r="S6" s="20"/>
      <c r="T6" s="20"/>
      <c r="U6" s="20"/>
      <c r="V6" s="20"/>
      <c r="W6" s="20"/>
      <c r="X6" s="20"/>
      <c r="Y6" s="20"/>
      <c r="Z6" s="20"/>
    </row>
    <row r="7" ht="48.75" customHeight="1">
      <c r="A7" s="1" t="s">
        <v>390</v>
      </c>
      <c r="B7" s="1" t="s">
        <v>391</v>
      </c>
      <c r="C7" s="1" t="s">
        <v>14</v>
      </c>
      <c r="D7" s="1" t="s">
        <v>381</v>
      </c>
      <c r="E7" s="1" t="s">
        <v>392</v>
      </c>
      <c r="F7" s="1" t="s">
        <v>393</v>
      </c>
      <c r="G7" s="1" t="s">
        <v>207</v>
      </c>
      <c r="H7" s="1" t="s">
        <v>19</v>
      </c>
      <c r="I7" s="6" t="s">
        <v>394</v>
      </c>
    </row>
    <row r="8" ht="68.25" customHeight="1">
      <c r="A8" s="1" t="s">
        <v>395</v>
      </c>
      <c r="B8" s="1" t="s">
        <v>396</v>
      </c>
      <c r="C8" s="1" t="s">
        <v>14</v>
      </c>
      <c r="D8" s="1" t="s">
        <v>381</v>
      </c>
      <c r="E8" s="1" t="s">
        <v>397</v>
      </c>
      <c r="F8" s="1" t="s">
        <v>398</v>
      </c>
      <c r="G8" s="1" t="s">
        <v>207</v>
      </c>
      <c r="H8" s="1" t="s">
        <v>19</v>
      </c>
      <c r="I8" s="6" t="s">
        <v>399</v>
      </c>
    </row>
    <row r="9" ht="73.5" customHeight="1">
      <c r="A9" s="1" t="s">
        <v>400</v>
      </c>
      <c r="B9" s="1" t="s">
        <v>401</v>
      </c>
      <c r="C9" s="1" t="s">
        <v>14</v>
      </c>
      <c r="D9" s="1" t="s">
        <v>381</v>
      </c>
      <c r="E9" s="1" t="s">
        <v>402</v>
      </c>
      <c r="F9" s="1" t="s">
        <v>403</v>
      </c>
      <c r="G9" s="1" t="s">
        <v>207</v>
      </c>
      <c r="H9" s="1" t="s">
        <v>19</v>
      </c>
      <c r="I9" s="6" t="s">
        <v>404</v>
      </c>
    </row>
    <row r="10" ht="97.5" customHeight="1">
      <c r="A10" s="1" t="s">
        <v>405</v>
      </c>
      <c r="B10" s="1" t="s">
        <v>406</v>
      </c>
      <c r="C10" s="1" t="s">
        <v>33</v>
      </c>
      <c r="D10" s="1" t="s">
        <v>386</v>
      </c>
      <c r="E10" s="1" t="s">
        <v>407</v>
      </c>
      <c r="F10" s="1" t="s">
        <v>408</v>
      </c>
      <c r="G10" s="1" t="s">
        <v>18</v>
      </c>
      <c r="H10" s="1" t="s">
        <v>19</v>
      </c>
      <c r="I10" s="6" t="s">
        <v>409</v>
      </c>
    </row>
    <row r="11" ht="78.0" hidden="1" customHeight="1">
      <c r="A11" s="17"/>
      <c r="B11" s="17"/>
      <c r="C11" s="18"/>
      <c r="D11" s="17"/>
      <c r="E11" s="17"/>
      <c r="F11" s="17"/>
      <c r="G11" s="18"/>
      <c r="H11" s="18"/>
      <c r="I11" s="19"/>
      <c r="J11" s="20"/>
      <c r="K11" s="20"/>
      <c r="L11" s="20"/>
      <c r="M11" s="20"/>
      <c r="N11" s="20"/>
      <c r="O11" s="20"/>
      <c r="P11" s="20"/>
      <c r="Q11" s="20"/>
      <c r="R11" s="20"/>
      <c r="S11" s="20"/>
      <c r="T11" s="20"/>
      <c r="U11" s="20"/>
      <c r="V11" s="20"/>
      <c r="W11" s="20"/>
      <c r="X11" s="20"/>
      <c r="Y11" s="20"/>
      <c r="Z11" s="20"/>
    </row>
    <row r="12" ht="73.5" hidden="1" customHeight="1">
      <c r="A12" s="17"/>
      <c r="B12" s="17"/>
      <c r="C12" s="18"/>
      <c r="D12" s="17"/>
      <c r="E12" s="17"/>
      <c r="F12" s="21"/>
      <c r="G12" s="18"/>
      <c r="H12" s="18"/>
      <c r="I12" s="19"/>
      <c r="J12" s="20"/>
      <c r="K12" s="20"/>
      <c r="L12" s="20"/>
      <c r="M12" s="20"/>
      <c r="N12" s="20"/>
      <c r="O12" s="20"/>
      <c r="P12" s="20"/>
      <c r="Q12" s="20"/>
      <c r="R12" s="20"/>
      <c r="S12" s="20"/>
      <c r="T12" s="20"/>
      <c r="U12" s="20"/>
      <c r="V12" s="20"/>
      <c r="W12" s="20"/>
      <c r="X12" s="20"/>
      <c r="Y12" s="20"/>
      <c r="Z12" s="20"/>
    </row>
    <row r="13" ht="70.5" customHeight="1">
      <c r="A13" s="1" t="s">
        <v>384</v>
      </c>
      <c r="B13" s="1" t="s">
        <v>385</v>
      </c>
      <c r="C13" s="1" t="s">
        <v>33</v>
      </c>
      <c r="D13" s="1" t="s">
        <v>386</v>
      </c>
      <c r="E13" s="1" t="s">
        <v>387</v>
      </c>
      <c r="F13" s="1" t="s">
        <v>388</v>
      </c>
      <c r="G13" s="1" t="s">
        <v>18</v>
      </c>
      <c r="H13" s="1" t="s">
        <v>19</v>
      </c>
      <c r="I13" s="6" t="s">
        <v>389</v>
      </c>
    </row>
    <row r="14" ht="97.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1.25" hidden="1" customHeight="1">
      <c r="A15" s="17"/>
      <c r="B15" s="17"/>
      <c r="C15" s="18"/>
      <c r="D15" s="17"/>
      <c r="E15" s="17"/>
      <c r="F15" s="17"/>
      <c r="G15" s="18"/>
      <c r="H15" s="18"/>
      <c r="I15" s="19"/>
      <c r="J15" s="20"/>
      <c r="K15" s="20"/>
      <c r="L15" s="20"/>
      <c r="M15" s="20"/>
      <c r="N15" s="20"/>
      <c r="O15" s="20"/>
      <c r="P15" s="20"/>
      <c r="Q15" s="20"/>
      <c r="R15" s="20"/>
      <c r="S15" s="20"/>
      <c r="T15" s="20"/>
      <c r="U15" s="20"/>
      <c r="V15" s="20"/>
      <c r="W15" s="20"/>
      <c r="X15" s="20"/>
      <c r="Y15" s="20"/>
      <c r="Z15" s="20"/>
    </row>
    <row r="16" ht="70.5" customHeight="1">
      <c r="A16" s="1" t="s">
        <v>410</v>
      </c>
      <c r="B16" s="1" t="s">
        <v>411</v>
      </c>
      <c r="C16" s="1" t="s">
        <v>53</v>
      </c>
      <c r="D16" s="1" t="s">
        <v>381</v>
      </c>
      <c r="E16" s="1" t="s">
        <v>412</v>
      </c>
      <c r="F16" s="1" t="s">
        <v>413</v>
      </c>
      <c r="G16" s="1" t="s">
        <v>207</v>
      </c>
      <c r="H16" s="1" t="s">
        <v>19</v>
      </c>
      <c r="I16" s="6" t="s">
        <v>414</v>
      </c>
    </row>
    <row r="17" ht="51.0"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ht="47.25" hidden="1" customHeight="1">
      <c r="A18" s="17"/>
      <c r="B18" s="17"/>
      <c r="C18" s="18"/>
      <c r="D18" s="17"/>
      <c r="E18" s="17"/>
      <c r="F18" s="17"/>
      <c r="G18" s="18"/>
      <c r="H18" s="18"/>
      <c r="I18" s="19"/>
      <c r="J18" s="20"/>
      <c r="K18" s="20"/>
      <c r="L18" s="20"/>
      <c r="M18" s="20"/>
      <c r="N18" s="20"/>
      <c r="O18" s="20"/>
      <c r="P18" s="20"/>
      <c r="Q18" s="20"/>
      <c r="R18" s="20"/>
      <c r="S18" s="20"/>
      <c r="T18" s="20"/>
      <c r="U18" s="20"/>
      <c r="V18" s="20"/>
      <c r="W18" s="20"/>
      <c r="X18" s="20"/>
      <c r="Y18" s="20"/>
      <c r="Z18" s="20"/>
    </row>
    <row r="19">
      <c r="A19" s="1" t="s">
        <v>415</v>
      </c>
      <c r="B19" s="1" t="s">
        <v>416</v>
      </c>
      <c r="C19" s="1" t="s">
        <v>53</v>
      </c>
      <c r="D19" s="1" t="s">
        <v>381</v>
      </c>
      <c r="E19" s="1" t="s">
        <v>417</v>
      </c>
      <c r="F19" s="1" t="s">
        <v>418</v>
      </c>
      <c r="G19" s="1" t="s">
        <v>419</v>
      </c>
      <c r="H19" s="1" t="s">
        <v>19</v>
      </c>
      <c r="I19" s="6" t="s">
        <v>420</v>
      </c>
    </row>
    <row r="20">
      <c r="A20" s="1" t="s">
        <v>421</v>
      </c>
      <c r="B20" s="1" t="s">
        <v>422</v>
      </c>
      <c r="C20" s="1" t="s">
        <v>53</v>
      </c>
      <c r="D20" s="1" t="s">
        <v>381</v>
      </c>
      <c r="E20" s="1" t="s">
        <v>423</v>
      </c>
      <c r="F20" s="1" t="s">
        <v>424</v>
      </c>
      <c r="G20" s="1" t="s">
        <v>207</v>
      </c>
      <c r="H20" s="1" t="s">
        <v>19</v>
      </c>
      <c r="I20" s="6" t="s">
        <v>425</v>
      </c>
    </row>
    <row r="21">
      <c r="A21" s="1" t="s">
        <v>426</v>
      </c>
      <c r="B21" s="1" t="s">
        <v>427</v>
      </c>
      <c r="C21" s="1" t="s">
        <v>53</v>
      </c>
      <c r="D21" s="1" t="s">
        <v>381</v>
      </c>
      <c r="E21" s="1" t="s">
        <v>428</v>
      </c>
      <c r="F21" s="1" t="s">
        <v>429</v>
      </c>
      <c r="G21" s="1" t="s">
        <v>207</v>
      </c>
      <c r="H21" s="1" t="s">
        <v>19</v>
      </c>
      <c r="I21" s="6" t="s">
        <v>430</v>
      </c>
    </row>
    <row r="22">
      <c r="A22" s="24"/>
      <c r="B22" s="24"/>
      <c r="C22" s="24"/>
      <c r="D22" s="24"/>
      <c r="E22" s="25"/>
      <c r="F22" s="24"/>
      <c r="G22" s="24"/>
      <c r="H22" s="26"/>
      <c r="I22" s="27"/>
      <c r="J22" s="28"/>
      <c r="K22" s="28"/>
      <c r="L22" s="28"/>
      <c r="M22" s="28"/>
      <c r="N22" s="28"/>
      <c r="O22" s="28"/>
      <c r="P22" s="28"/>
      <c r="Q22" s="28"/>
      <c r="R22" s="28"/>
      <c r="S22" s="28"/>
      <c r="T22" s="28"/>
      <c r="U22" s="28"/>
      <c r="V22" s="28"/>
      <c r="W22" s="28"/>
      <c r="X22" s="28"/>
      <c r="Y22" s="28"/>
      <c r="Z22" s="28"/>
    </row>
    <row r="23">
      <c r="A23" s="2"/>
      <c r="B23" s="2"/>
      <c r="D23" s="2"/>
      <c r="E23" s="2"/>
      <c r="F23" s="2"/>
      <c r="I23" s="23"/>
    </row>
    <row r="24">
      <c r="A24" s="2"/>
      <c r="B24" s="2"/>
      <c r="D24" s="2"/>
      <c r="E24" s="2"/>
      <c r="F24" s="2"/>
      <c r="I24" s="23"/>
    </row>
    <row r="25">
      <c r="A25" s="2"/>
      <c r="B25" s="2"/>
      <c r="D25" s="2"/>
      <c r="E25" s="2"/>
      <c r="F25" s="2"/>
      <c r="I25" s="23"/>
    </row>
    <row r="26">
      <c r="A26" s="2"/>
      <c r="B26" s="2"/>
      <c r="D26" s="2"/>
      <c r="E26" s="2"/>
      <c r="F26" s="2"/>
      <c r="I26" s="23"/>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row r="117">
      <c r="A117" s="2"/>
      <c r="B117" s="2"/>
      <c r="D117" s="2"/>
      <c r="E117" s="2"/>
      <c r="F117" s="2"/>
      <c r="I117" s="23"/>
    </row>
    <row r="118">
      <c r="A118" s="2"/>
      <c r="B118" s="2"/>
      <c r="D118" s="2"/>
      <c r="E118" s="2"/>
      <c r="F118" s="2"/>
      <c r="I118" s="23"/>
    </row>
  </sheetData>
  <autoFilter ref="$D$1:$D$118"/>
  <hyperlinks>
    <hyperlink r:id="rId1" ref="I2"/>
    <hyperlink r:id="rId2" ref="I3"/>
    <hyperlink r:id="rId3" ref="I7"/>
    <hyperlink r:id="rId4" ref="I8"/>
    <hyperlink r:id="rId5" ref="I9"/>
    <hyperlink r:id="rId6" ref="I10"/>
    <hyperlink r:id="rId7" ref="I13"/>
    <hyperlink r:id="rId8" ref="I16"/>
    <hyperlink r:id="rId9" ref="I19"/>
    <hyperlink r:id="rId10" ref="I20"/>
    <hyperlink r:id="rId11" ref="I21"/>
  </hyperlinks>
  <drawing r:id="rId1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1" t="s">
        <v>431</v>
      </c>
      <c r="B2" s="1" t="s">
        <v>432</v>
      </c>
      <c r="C2" s="1" t="s">
        <v>14</v>
      </c>
      <c r="D2" s="1" t="s">
        <v>433</v>
      </c>
      <c r="E2" s="1" t="s">
        <v>434</v>
      </c>
      <c r="F2" s="1" t="s">
        <v>435</v>
      </c>
      <c r="G2" s="1" t="s">
        <v>436</v>
      </c>
      <c r="H2" s="1" t="s">
        <v>19</v>
      </c>
      <c r="I2" s="6" t="s">
        <v>437</v>
      </c>
    </row>
    <row r="3" ht="97.5" hidden="1" customHeight="1">
      <c r="A3" s="12"/>
      <c r="B3" s="12"/>
      <c r="C3" s="13"/>
      <c r="D3" s="12"/>
      <c r="E3" s="12"/>
      <c r="F3" s="14"/>
      <c r="G3" s="13"/>
      <c r="H3" s="13"/>
      <c r="I3" s="15"/>
      <c r="J3" s="16"/>
      <c r="K3" s="16"/>
      <c r="L3" s="16"/>
      <c r="M3" s="16"/>
      <c r="N3" s="16"/>
      <c r="O3" s="16"/>
      <c r="P3" s="16"/>
      <c r="Q3" s="16"/>
      <c r="R3" s="16"/>
      <c r="S3" s="16"/>
      <c r="T3" s="16"/>
      <c r="U3" s="16"/>
      <c r="V3" s="16"/>
      <c r="W3" s="16"/>
      <c r="X3" s="16"/>
      <c r="Y3" s="16"/>
      <c r="Z3" s="16"/>
    </row>
    <row r="4" ht="63.75" hidden="1" customHeight="1">
      <c r="A4" s="17"/>
      <c r="B4" s="17"/>
      <c r="C4" s="18"/>
      <c r="D4" s="17"/>
      <c r="E4" s="17"/>
      <c r="F4" s="17"/>
      <c r="G4" s="18"/>
      <c r="H4" s="18"/>
      <c r="I4" s="19"/>
      <c r="J4" s="20"/>
      <c r="K4" s="20"/>
      <c r="L4" s="20"/>
      <c r="M4" s="20"/>
      <c r="N4" s="20"/>
      <c r="O4" s="20"/>
      <c r="P4" s="20"/>
      <c r="Q4" s="20"/>
      <c r="R4" s="20"/>
      <c r="S4" s="20"/>
      <c r="T4" s="20"/>
      <c r="U4" s="20"/>
      <c r="V4" s="20"/>
      <c r="W4" s="20"/>
      <c r="X4" s="20"/>
      <c r="Y4" s="20"/>
      <c r="Z4" s="20"/>
    </row>
    <row r="5" ht="97.5" hidden="1" customHeight="1">
      <c r="A5" s="17"/>
      <c r="B5" s="17"/>
      <c r="C5" s="18"/>
      <c r="D5" s="17"/>
      <c r="E5" s="17"/>
      <c r="F5" s="17"/>
      <c r="G5" s="18"/>
      <c r="H5" s="18"/>
      <c r="I5" s="19"/>
      <c r="J5" s="20"/>
      <c r="K5" s="20"/>
      <c r="L5" s="20"/>
      <c r="M5" s="20"/>
      <c r="N5" s="20"/>
      <c r="O5" s="20"/>
      <c r="P5" s="20"/>
      <c r="Q5" s="20"/>
      <c r="R5" s="20"/>
      <c r="S5" s="20"/>
      <c r="T5" s="20"/>
      <c r="U5" s="20"/>
      <c r="V5" s="20"/>
      <c r="W5" s="20"/>
      <c r="X5" s="20"/>
      <c r="Y5" s="20"/>
      <c r="Z5" s="20"/>
    </row>
    <row r="6" ht="77.25" hidden="1" customHeight="1">
      <c r="A6" s="17"/>
      <c r="B6" s="17"/>
      <c r="C6" s="18"/>
      <c r="D6" s="17"/>
      <c r="E6" s="17"/>
      <c r="F6" s="21"/>
      <c r="G6" s="18"/>
      <c r="H6" s="18"/>
      <c r="I6" s="22"/>
      <c r="J6" s="20"/>
      <c r="K6" s="20"/>
      <c r="L6" s="20"/>
      <c r="M6" s="20"/>
      <c r="N6" s="20"/>
      <c r="O6" s="20"/>
      <c r="P6" s="20"/>
      <c r="Q6" s="20"/>
      <c r="R6" s="20"/>
      <c r="S6" s="20"/>
      <c r="T6" s="20"/>
      <c r="U6" s="20"/>
      <c r="V6" s="20"/>
      <c r="W6" s="20"/>
      <c r="X6" s="20"/>
      <c r="Y6" s="20"/>
      <c r="Z6" s="20"/>
    </row>
    <row r="7" ht="48.75" customHeight="1">
      <c r="A7" s="1" t="s">
        <v>438</v>
      </c>
      <c r="B7" s="1" t="s">
        <v>439</v>
      </c>
      <c r="C7" s="1" t="s">
        <v>14</v>
      </c>
      <c r="D7" s="1" t="s">
        <v>440</v>
      </c>
      <c r="E7" s="1" t="s">
        <v>441</v>
      </c>
      <c r="G7" s="1" t="s">
        <v>442</v>
      </c>
      <c r="H7" s="1" t="s">
        <v>19</v>
      </c>
      <c r="I7" s="6" t="s">
        <v>443</v>
      </c>
    </row>
    <row r="8" ht="68.25" customHeight="1">
      <c r="A8" s="1" t="s">
        <v>444</v>
      </c>
      <c r="B8" s="1" t="s">
        <v>445</v>
      </c>
      <c r="C8" s="1" t="s">
        <v>14</v>
      </c>
      <c r="D8" s="1" t="s">
        <v>440</v>
      </c>
      <c r="E8" s="1" t="s">
        <v>446</v>
      </c>
      <c r="F8" s="1" t="s">
        <v>447</v>
      </c>
      <c r="G8" s="1" t="s">
        <v>448</v>
      </c>
      <c r="H8" s="1" t="s">
        <v>19</v>
      </c>
      <c r="I8" s="6" t="s">
        <v>449</v>
      </c>
    </row>
    <row r="9" ht="73.5" customHeight="1">
      <c r="A9" s="1" t="s">
        <v>450</v>
      </c>
      <c r="B9" s="1" t="s">
        <v>451</v>
      </c>
      <c r="C9" s="1" t="s">
        <v>14</v>
      </c>
      <c r="D9" s="1" t="s">
        <v>452</v>
      </c>
      <c r="E9" s="1" t="s">
        <v>453</v>
      </c>
      <c r="F9" s="1" t="s">
        <v>454</v>
      </c>
      <c r="G9" s="1" t="s">
        <v>455</v>
      </c>
      <c r="H9" s="1" t="s">
        <v>43</v>
      </c>
      <c r="I9" s="6" t="s">
        <v>456</v>
      </c>
    </row>
    <row r="10" ht="97.5" customHeight="1">
      <c r="A10" s="1" t="s">
        <v>457</v>
      </c>
      <c r="B10" s="1" t="s">
        <v>458</v>
      </c>
      <c r="C10" s="1" t="s">
        <v>14</v>
      </c>
      <c r="D10" s="1" t="s">
        <v>459</v>
      </c>
      <c r="E10" s="1" t="s">
        <v>460</v>
      </c>
      <c r="F10" s="1" t="s">
        <v>461</v>
      </c>
      <c r="G10" s="1" t="s">
        <v>462</v>
      </c>
      <c r="H10" s="1" t="s">
        <v>43</v>
      </c>
      <c r="I10" s="6" t="s">
        <v>463</v>
      </c>
    </row>
    <row r="11" ht="78.0" hidden="1" customHeight="1">
      <c r="A11" s="17"/>
      <c r="B11" s="17"/>
      <c r="C11" s="18"/>
      <c r="D11" s="17"/>
      <c r="E11" s="17"/>
      <c r="F11" s="17"/>
      <c r="G11" s="18"/>
      <c r="H11" s="18"/>
      <c r="I11" s="19"/>
      <c r="J11" s="20"/>
      <c r="K11" s="20"/>
      <c r="L11" s="20"/>
      <c r="M11" s="20"/>
      <c r="N11" s="20"/>
      <c r="O11" s="20"/>
      <c r="P11" s="20"/>
      <c r="Q11" s="20"/>
      <c r="R11" s="20"/>
      <c r="S11" s="20"/>
      <c r="T11" s="20"/>
      <c r="U11" s="20"/>
      <c r="V11" s="20"/>
      <c r="W11" s="20"/>
      <c r="X11" s="20"/>
      <c r="Y11" s="20"/>
      <c r="Z11" s="20"/>
    </row>
    <row r="12" ht="73.5" hidden="1" customHeight="1">
      <c r="A12" s="17"/>
      <c r="B12" s="17"/>
      <c r="C12" s="18"/>
      <c r="D12" s="17"/>
      <c r="E12" s="17"/>
      <c r="F12" s="21"/>
      <c r="G12" s="18"/>
      <c r="H12" s="18"/>
      <c r="I12" s="19"/>
      <c r="J12" s="20"/>
      <c r="K12" s="20"/>
      <c r="L12" s="20"/>
      <c r="M12" s="20"/>
      <c r="N12" s="20"/>
      <c r="O12" s="20"/>
      <c r="P12" s="20"/>
      <c r="Q12" s="20"/>
      <c r="R12" s="20"/>
      <c r="S12" s="20"/>
      <c r="T12" s="20"/>
      <c r="U12" s="20"/>
      <c r="V12" s="20"/>
      <c r="W12" s="20"/>
      <c r="X12" s="20"/>
      <c r="Y12" s="20"/>
      <c r="Z12" s="20"/>
    </row>
    <row r="13" ht="70.5" customHeight="1">
      <c r="A13" s="1" t="s">
        <v>464</v>
      </c>
      <c r="B13" s="1" t="s">
        <v>465</v>
      </c>
      <c r="C13" s="1" t="s">
        <v>33</v>
      </c>
      <c r="D13" s="1" t="s">
        <v>466</v>
      </c>
      <c r="E13" s="1" t="s">
        <v>467</v>
      </c>
      <c r="F13" s="1" t="s">
        <v>468</v>
      </c>
      <c r="G13" s="1" t="s">
        <v>436</v>
      </c>
      <c r="H13" s="1" t="s">
        <v>19</v>
      </c>
      <c r="I13" s="6" t="s">
        <v>469</v>
      </c>
    </row>
    <row r="14" ht="97.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1.25" hidden="1" customHeight="1">
      <c r="A15" s="17"/>
      <c r="B15" s="17"/>
      <c r="C15" s="18"/>
      <c r="D15" s="17"/>
      <c r="E15" s="17"/>
      <c r="F15" s="17"/>
      <c r="G15" s="18"/>
      <c r="H15" s="18"/>
      <c r="I15" s="19"/>
      <c r="J15" s="20"/>
      <c r="K15" s="20"/>
      <c r="L15" s="20"/>
      <c r="M15" s="20"/>
      <c r="N15" s="20"/>
      <c r="O15" s="20"/>
      <c r="P15" s="20"/>
      <c r="Q15" s="20"/>
      <c r="R15" s="20"/>
      <c r="S15" s="20"/>
      <c r="T15" s="20"/>
      <c r="U15" s="20"/>
      <c r="V15" s="20"/>
      <c r="W15" s="20"/>
      <c r="X15" s="20"/>
      <c r="Y15" s="20"/>
      <c r="Z15" s="20"/>
    </row>
    <row r="16" ht="70.5" customHeight="1">
      <c r="A16" s="1" t="s">
        <v>470</v>
      </c>
      <c r="B16" s="1" t="s">
        <v>471</v>
      </c>
      <c r="C16" s="1" t="s">
        <v>33</v>
      </c>
      <c r="D16" s="1" t="s">
        <v>472</v>
      </c>
      <c r="E16" s="1" t="s">
        <v>473</v>
      </c>
      <c r="G16" s="1" t="s">
        <v>474</v>
      </c>
      <c r="H16" s="1" t="s">
        <v>19</v>
      </c>
      <c r="I16" s="6" t="s">
        <v>475</v>
      </c>
    </row>
    <row r="17" ht="51.0"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ht="47.25" hidden="1" customHeight="1">
      <c r="A18" s="17"/>
      <c r="B18" s="17"/>
      <c r="C18" s="18"/>
      <c r="D18" s="17"/>
      <c r="E18" s="17"/>
      <c r="F18" s="17"/>
      <c r="G18" s="18"/>
      <c r="H18" s="18"/>
      <c r="I18" s="19"/>
      <c r="J18" s="20"/>
      <c r="K18" s="20"/>
      <c r="L18" s="20"/>
      <c r="M18" s="20"/>
      <c r="N18" s="20"/>
      <c r="O18" s="20"/>
      <c r="P18" s="20"/>
      <c r="Q18" s="20"/>
      <c r="R18" s="20"/>
      <c r="S18" s="20"/>
      <c r="T18" s="20"/>
      <c r="U18" s="20"/>
      <c r="V18" s="20"/>
      <c r="W18" s="20"/>
      <c r="X18" s="20"/>
      <c r="Y18" s="20"/>
      <c r="Z18" s="20"/>
    </row>
    <row r="19">
      <c r="A19" s="1" t="s">
        <v>476</v>
      </c>
      <c r="B19" s="1" t="s">
        <v>477</v>
      </c>
      <c r="C19" s="3" t="s">
        <v>33</v>
      </c>
      <c r="D19" s="3" t="s">
        <v>478</v>
      </c>
      <c r="E19" s="1" t="s">
        <v>479</v>
      </c>
      <c r="G19" s="1" t="s">
        <v>480</v>
      </c>
      <c r="H19" s="1" t="s">
        <v>43</v>
      </c>
      <c r="I19" s="6" t="s">
        <v>481</v>
      </c>
    </row>
    <row r="20">
      <c r="A20" s="1" t="s">
        <v>482</v>
      </c>
      <c r="B20" s="1" t="s">
        <v>483</v>
      </c>
      <c r="C20" s="3" t="s">
        <v>33</v>
      </c>
      <c r="D20" s="3" t="s">
        <v>478</v>
      </c>
      <c r="E20" s="1" t="s">
        <v>484</v>
      </c>
      <c r="G20" s="1" t="s">
        <v>480</v>
      </c>
      <c r="H20" s="1" t="s">
        <v>43</v>
      </c>
      <c r="I20" s="6" t="s">
        <v>485</v>
      </c>
    </row>
    <row r="21">
      <c r="A21" s="1" t="s">
        <v>486</v>
      </c>
      <c r="B21" s="1" t="s">
        <v>487</v>
      </c>
      <c r="C21" s="1" t="s">
        <v>53</v>
      </c>
      <c r="D21" s="1" t="s">
        <v>488</v>
      </c>
      <c r="E21" s="1" t="s">
        <v>489</v>
      </c>
      <c r="F21" s="1" t="s">
        <v>490</v>
      </c>
      <c r="G21" s="1" t="s">
        <v>480</v>
      </c>
      <c r="H21" s="1" t="s">
        <v>19</v>
      </c>
      <c r="I21" s="6" t="s">
        <v>491</v>
      </c>
    </row>
    <row r="22">
      <c r="A22" s="1" t="s">
        <v>492</v>
      </c>
      <c r="B22" s="1" t="s">
        <v>493</v>
      </c>
      <c r="C22" s="1" t="s">
        <v>53</v>
      </c>
      <c r="D22" s="1" t="s">
        <v>440</v>
      </c>
      <c r="E22" s="1" t="s">
        <v>494</v>
      </c>
      <c r="F22" s="1" t="s">
        <v>495</v>
      </c>
      <c r="G22" s="1" t="s">
        <v>442</v>
      </c>
      <c r="H22" s="1" t="s">
        <v>19</v>
      </c>
      <c r="I22" s="6" t="s">
        <v>496</v>
      </c>
    </row>
    <row r="23">
      <c r="A23" s="1" t="s">
        <v>497</v>
      </c>
      <c r="B23" s="1" t="s">
        <v>498</v>
      </c>
      <c r="C23" s="1" t="s">
        <v>53</v>
      </c>
      <c r="D23" s="1" t="s">
        <v>440</v>
      </c>
      <c r="E23" s="1" t="s">
        <v>499</v>
      </c>
      <c r="F23" s="1" t="s">
        <v>500</v>
      </c>
      <c r="G23" s="1" t="s">
        <v>442</v>
      </c>
      <c r="H23" s="1" t="s">
        <v>19</v>
      </c>
      <c r="I23" s="6" t="s">
        <v>501</v>
      </c>
    </row>
    <row r="24">
      <c r="A24" s="1" t="s">
        <v>502</v>
      </c>
      <c r="B24" s="1" t="s">
        <v>493</v>
      </c>
      <c r="C24" s="1" t="s">
        <v>53</v>
      </c>
      <c r="D24" s="1" t="s">
        <v>440</v>
      </c>
      <c r="E24" s="1" t="s">
        <v>503</v>
      </c>
      <c r="G24" s="1" t="s">
        <v>442</v>
      </c>
      <c r="H24" s="1" t="s">
        <v>19</v>
      </c>
      <c r="I24" s="6" t="s">
        <v>504</v>
      </c>
    </row>
    <row r="25">
      <c r="A25" s="2"/>
      <c r="B25" s="2"/>
      <c r="D25" s="2"/>
      <c r="E25" s="2"/>
      <c r="F25" s="2"/>
      <c r="I25" s="23"/>
    </row>
    <row r="26">
      <c r="A26" s="2"/>
      <c r="B26" s="2"/>
      <c r="D26" s="2"/>
      <c r="E26" s="2"/>
      <c r="F26" s="2"/>
      <c r="I26" s="23"/>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row r="117">
      <c r="A117" s="2"/>
      <c r="B117" s="2"/>
      <c r="D117" s="2"/>
      <c r="E117" s="2"/>
      <c r="F117" s="2"/>
      <c r="I117" s="23"/>
    </row>
    <row r="118">
      <c r="A118" s="2"/>
      <c r="B118" s="2"/>
      <c r="D118" s="2"/>
      <c r="E118" s="2"/>
      <c r="F118" s="2"/>
      <c r="I118" s="23"/>
    </row>
  </sheetData>
  <autoFilter ref="$D$1:$D$118"/>
  <hyperlinks>
    <hyperlink r:id="rId1" ref="I2"/>
    <hyperlink r:id="rId2" ref="I7"/>
    <hyperlink r:id="rId3" ref="I8"/>
    <hyperlink r:id="rId4" ref="I9"/>
    <hyperlink r:id="rId5" ref="I10"/>
    <hyperlink r:id="rId6" ref="I13"/>
    <hyperlink r:id="rId7" ref="I16"/>
    <hyperlink r:id="rId8" ref="I19"/>
    <hyperlink r:id="rId9" ref="I20"/>
    <hyperlink r:id="rId10" ref="I21"/>
    <hyperlink r:id="rId11" ref="I22"/>
    <hyperlink r:id="rId12" ref="I23"/>
    <hyperlink r:id="rId13" ref="I24"/>
  </hyperlinks>
  <drawing r:id="rId1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75"/>
    <col customWidth="1" min="6" max="6" width="25.38"/>
  </cols>
  <sheetData>
    <row r="1">
      <c r="A1" s="1" t="str">
        <f>IFERROR(__xludf.DUMMYFUNCTION("QUERY('All Submissions (not approved f'!A:L, ""select Col3,Col4,Col5,Col6,Col7,Col8, Col9,Col10,Col11 where Col12 = 'YES'"")"),"APA-COMPLIANT CITATION (For guidance, see this resource).
EXAMPLE: Tannenwald, N. (2013). Justice and fairness in the nuclear nonproliferation regime. Ethics &amp; International Affairs, 27(3), 299-317")</f>
        <v>APA-COMPLIANT CITATION (For guidance, see this resource).
EXAMPLE: Tannenwald, N. (2013). Justice and fairness in the nuclear nonproliferation regime. Ethics &amp; International Affairs, 27(3), 299-317</v>
      </c>
      <c r="B1" s="1" t="str">
        <f>IFERROR(__xludf.DUMMYFUNCTION("""COMPUTED_VALUE"""),"AUTHOR(S) QUALIFICATIONS AT PUBLICATION")</f>
        <v>AUTHOR(S) QUALIFICATIONS AT PUBLICATION</v>
      </c>
      <c r="C1" s="1" t="str">
        <f>IFERROR(__xludf.DUMMYFUNCTION("""COMPUTED_VALUE"""),"RELATION TO TOPIC")</f>
        <v>RELATION TO TOPIC</v>
      </c>
      <c r="D1" s="1" t="str">
        <f>IFERROR(__xludf.DUMMYFUNCTION("""COMPUTED_VALUE"""),"TOPIC ARGUMENT(S) SUPPORTED
Select the relevant topic area for your article. If it applies to multiple (such as a negative off-case position) provide a brief description in the ""other"" category. 
EXAMPLE: develops the Reliability Disadvantage")</f>
        <v>TOPIC ARGUMENT(S) SUPPORTED
Select the relevant topic area for your article. If it applies to multiple (such as a negative off-case position) provide a brief description in the "other" category. 
EXAMPLE: develops the Reliability Disadvantage</v>
      </c>
      <c r="E1" s="1" t="str">
        <f>IFERROR(__xludf.DUMMYFUNCTION("""COMPUTED_VALUE"""),"CONTRIBUTOR ABSTRACT
Summarize the primary arguments in the document and what role the article will play in the library")</f>
        <v>CONTRIBUTOR ABSTRACT
Summarize the primary arguments in the document and what role the article will play in the library</v>
      </c>
      <c r="F1" s="1" t="str">
        <f>IFERROR(__xludf.DUMMYFUNCTION("""COMPUTED_VALUE"""),"ORIGINAL ABSTRACT (if available)")</f>
        <v>ORIGINAL ABSTRACT (if available)</v>
      </c>
      <c r="G1" s="1" t="str">
        <f>IFERROR(__xludf.DUMMYFUNCTION("""COMPUTED_VALUE"""),"CONTRIBUTOR LAST NAME and INSTITUTION
EXAMPLE: Johnson WSU")</f>
        <v>CONTRIBUTOR LAST NAME and INSTITUTION
EXAMPLE: Johnson WSU</v>
      </c>
      <c r="H1" s="1" t="str">
        <f>IFERROR(__xludf.DUMMYFUNCTION("""COMPUTED_VALUE"""),"LIBRARY DEVELOPMENT WAVE
Which wave of development are you contributing this article for?")</f>
        <v>LIBRARY DEVELOPMENT WAVE
Which wave of development are you contributing this article for?</v>
      </c>
      <c r="I1" s="1" t="str">
        <f>IFERROR(__xludf.DUMMYFUNCTION("""COMPUTED_VALUE"""),"UPLOAD SEARCHABLE PDF FULL-TEXT DOCUMENT")</f>
        <v>UPLOAD SEARCHABLE PDF FULL-TEXT DOCUMENT</v>
      </c>
    </row>
    <row r="2">
      <c r="A2" s="1" t="str">
        <f>IFERROR(__xludf.DUMMYFUNCTION("""COMPUTED_VALUE"""),"Schoenmaker, D. (2 April 2016). ""Financial risks and opportunities in the time of climate change"". Bruegal Policy Brief, Issue 2016")</f>
        <v>Schoenmaker, D. (2 April 2016). "Financial risks and opportunities in the time of climate change". Bruegal Policy Brief, Issue 2016</v>
      </c>
      <c r="B2" s="1" t="str">
        <f>IFERROR(__xludf.DUMMYFUNCTION("""COMPUTED_VALUE"""),"Senior Fellow at Bruegel and Professor of Banking and Finance at Rotterdam School of Management, Erasmus University Rotterdam")</f>
        <v>Senior Fellow at Bruegel and Professor of Banking and Finance at Rotterdam School of Management, Erasmus University Rotterdam</v>
      </c>
      <c r="C2" s="1" t="str">
        <f>IFERROR(__xludf.DUMMYFUNCTION("""COMPUTED_VALUE"""),"NEGATIVE")</f>
        <v>NEGATIVE</v>
      </c>
      <c r="D2" s="1" t="str">
        <f>IFERROR(__xludf.DUMMYFUNCTION("""COMPUTED_VALUE"""),"Carbon Bubble DA")</f>
        <v>Carbon Bubble DA</v>
      </c>
      <c r="E2" s="1" t="str">
        <f>IFERROR(__xludf.DUMMYFUNCTION("""COMPUTED_VALUE"""),"Huge changes to energy policy in the United States, particularly a transition to a low-carbon economy, could lead to economic shocks and wreck the entire financial system. Link to the Carbon Bubble DA")</f>
        <v>Huge changes to energy policy in the United States, particularly a transition to a low-carbon economy, could lead to economic shocks and wreck the entire financial system. Link to the Carbon Bubble DA</v>
      </c>
      <c r="F2" s="1" t="str">
        <f>IFERROR(__xludf.DUMMYFUNCTION("""COMPUTED_VALUE"""),"Real economic imbalances can lead to financial crisis. The current
unsustainable use of our environment is such an imbalance. Financial shocks
can be triggered by either intensified environmental policies, cleantech breakthroughs (both resulting in the st"&amp;"randing of unsustainable assets), or the
economic costs of crossing ecological boundaries (eg floods and droughts due
to climate change). Financial supervisors and risk managers have so far paid
little attention to this ecological dimension, allowing syst"&amp;"emic financial imbalances resulting from ecological pressures to build up. Inattention also leads to
missed economic and financial opportunities from the sustainability transition.")</f>
        <v>Real economic imbalances can lead to financial crisis. The current
unsustainable use of our environment is such an imbalance. Financial shocks
can be triggered by either intensified environmental policies, cleantech breakthroughs (both resulting in the stranding of unsustainable assets), or the
economic costs of crossing ecological boundaries (eg floods and droughts due
to climate change). Financial supervisors and risk managers have so far paid
little attention to this ecological dimension, allowing systemic financial imbalances resulting from ecological pressures to build up. Inattention also leads to
missed economic and financial opportunities from the sustainability transition.</v>
      </c>
      <c r="G2" s="1" t="str">
        <f>IFERROR(__xludf.DUMMYFUNCTION("""COMPUTED_VALUE"""),"Talamantes WSU")</f>
        <v>Talamantes WSU</v>
      </c>
      <c r="H2" s="1" t="str">
        <f>IFERROR(__xludf.DUMMYFUNCTION("""COMPUTED_VALUE"""),"1 (due   )")</f>
        <v>1 (due   )</v>
      </c>
      <c r="I2" s="7" t="str">
        <f>IFERROR(__xludf.DUMMYFUNCTION("""COMPUTED_VALUE"""),"https://drive.google.com/open?id=1f-OYoCvfKVboTgbyfV9-T__P9DVA6Bag")</f>
        <v>https://drive.google.com/open?id=1f-OYoCvfKVboTgbyfV9-T__P9DVA6Bag</v>
      </c>
    </row>
    <row r="3">
      <c r="A3" s="1" t="str">
        <f>IFERROR(__xludf.DUMMYFUNCTION("""COMPUTED_VALUE"""),"Goudarzi, L. &amp; Wood, F. (2017). ""The Impacts of Restricting Fossil Fuel Energy Production"", https://www.api.org/-/media/files/policy/american-energy/impacts-of-restricting-fossil-fuels-report.pdf")</f>
        <v>Goudarzi, L. &amp; Wood, F. (2017). "The Impacts of Restricting Fossil Fuel Energy Production", https://www.api.org/-/media/files/policy/american-energy/impacts-of-restricting-fossil-fuels-report.pdf</v>
      </c>
      <c r="B3" s="1" t="str">
        <f>IFERROR(__xludf.DUMMYFUNCTION("""COMPUTED_VALUE"""),"Lessly Goudarzi is the founder and strategic adviser Onlocation, consulting firm specializing in energy and environmental policy analysis, Frances Wood is a Senior Director of Analysis of Onlocation, she is recognized expert in the National Energy Modelin"&amp;"g System (NEMS) and has performed policy analyses using a variety of integrated energy models (including NEMS) to provide comprehensive representations of the energy market")</f>
        <v>Lessly Goudarzi is the founder and strategic adviser Onlocation, consulting firm specializing in energy and environmental policy analysis, Frances Wood is a Senior Director of Analysis of Onlocation, she is recognized expert in the National Energy Modeling System (NEMS) and has performed policy analyses using a variety of integrated energy models (including NEMS) to provide comprehensive representations of the energy market</v>
      </c>
      <c r="C3" s="1" t="str">
        <f>IFERROR(__xludf.DUMMYFUNCTION("""COMPUTED_VALUE"""),"NEGATIVE")</f>
        <v>NEGATIVE</v>
      </c>
      <c r="D3" s="1" t="str">
        <f>IFERROR(__xludf.DUMMYFUNCTION("""COMPUTED_VALUE"""),"Carbon Bubble DA")</f>
        <v>Carbon Bubble DA</v>
      </c>
      <c r="E3" s="1" t="str">
        <f>IFERROR(__xludf.DUMMYFUNCTION("""COMPUTED_VALUE"""),"Uses modeling to determine the economic impact of removing fossil fuel subsidies, and creating drastic changes to current us energy infrastructure, very specific on gdp &amp; job loss ")</f>
        <v>Uses modeling to determine the economic impact of removing fossil fuel subsidies, and creating drastic changes to current us energy infrastructure, very specific on gdp &amp; job loss </v>
      </c>
      <c r="F3" s="1"/>
      <c r="G3" s="1" t="str">
        <f>IFERROR(__xludf.DUMMYFUNCTION("""COMPUTED_VALUE"""),"Talamantes WSU")</f>
        <v>Talamantes WSU</v>
      </c>
      <c r="H3" s="1" t="str">
        <f>IFERROR(__xludf.DUMMYFUNCTION("""COMPUTED_VALUE"""),"1 (due   )")</f>
        <v>1 (due   )</v>
      </c>
      <c r="I3" s="6" t="str">
        <f>IFERROR(__xludf.DUMMYFUNCTION("""COMPUTED_VALUE"""),"https://drive.google.com/open?id=1A_rY5yzJBVJmR94FX1yg5_t5gVB_DXSb")</f>
        <v>https://drive.google.com/open?id=1A_rY5yzJBVJmR94FX1yg5_t5gVB_DXSb</v>
      </c>
    </row>
    <row r="4">
      <c r="A4" s="1" t="str">
        <f>IFERROR(__xludf.DUMMYFUNCTION("""COMPUTED_VALUE"""),"Maavak, M. (2021). Horizon 2030: Will Emerging Risks Unravel Our Global Systems. Salus Journal – The Australian Journal for Law Enforcement, Security and Intelligence Professionals, 9(1), 2-8")</f>
        <v>Maavak, M. (2021). Horizon 2030: Will Emerging Risks Unravel Our Global Systems. Salus Journal – The Australian Journal for Law Enforcement, Security and Intelligence Professionals, 9(1), 2-8</v>
      </c>
      <c r="B4" s="1" t="str">
        <f>IFERROR(__xludf.DUMMYFUNCTION("""COMPUTED_VALUE"""),"PhD in Risk Foresight from the Universiti Teknologi Malaysia, External Researcher (PLATBIDAFO) at the Kazimieras Simonavicius University, Expert and Regular Commentator on Risk-Related Geostrategic Issues at the Russian International Affairs Council")</f>
        <v>PhD in Risk Foresight from the Universiti Teknologi Malaysia, External Researcher (PLATBIDAFO) at the Kazimieras Simonavicius University, Expert and Regular Commentator on Risk-Related Geostrategic Issues at the Russian International Affairs Council</v>
      </c>
      <c r="C4" s="1" t="str">
        <f>IFERROR(__xludf.DUMMYFUNCTION("""COMPUTED_VALUE"""),"NEGATIVE")</f>
        <v>NEGATIVE</v>
      </c>
      <c r="D4" s="1" t="str">
        <f>IFERROR(__xludf.DUMMYFUNCTION("""COMPUTED_VALUE"""),"Carbon Bubble DA")</f>
        <v>Carbon Bubble DA</v>
      </c>
      <c r="E4" s="1" t="str">
        <f>IFERROR(__xludf.DUMMYFUNCTION("""COMPUTED_VALUE"""),"economic decline leading to global instability, stresses that sectors are intertwined, economic stressors from gdp and job loss leading to geopolitical instability, examples of historical precedent")</f>
        <v>economic decline leading to global instability, stresses that sectors are intertwined, economic stressors from gdp and job loss leading to geopolitical instability, examples of historical precedent</v>
      </c>
      <c r="F4" s="1" t="str">
        <f>IFERROR(__xludf.DUMMYFUNCTION("""COMPUTED_VALUE"""),"Various scholars and institutions regard global social instability as the greatest threat facing this decade. The catalyst has been postulated to be a Second Great Depression which, in turn, will have profound implications for global security and national"&amp;" integrity. This paper, written from a broad systems perspective, illustrates how emerging risks are getting more complex and intertwined; blurring boundaries between the economic, environmental, geopolitical, societal and technological taxonomy used by t"&amp;"he World Economic Forum for its annual global risk forecasts. Tight couplings in our global systems have also enabled risks accrued in one area to snowball into a full-blown crisis elsewhere. The COVID-19 pandemic and its socioeconomic fallouts exemplify "&amp;"this systemic chain-reaction. Onceinexorable forces of globalization are rupturing as the current global system can no longer be sustained due to poor governance and runaway wealth fractionation. The coronavirus pandemic is also enabling Big Tech to expro"&amp;"priate the levers of governments and mass communications worldwide. This paper concludes by highlighting how this development poses a dilemma for security professionals. ")</f>
        <v>Various scholars and institutions regard global social instability as the greatest threat facing this decade. The catalyst has been postulated to be a Second Great Depression which, in turn, will have profound implications for global security and national integrity. This paper, written from a broad systems perspective, illustrates how emerging risks are getting more complex and intertwined; blurring boundaries between the economic, environmental, geopolitical, societal and technological taxonomy used by the World Economic Forum for its annual global risk forecasts. Tight couplings in our global systems have also enabled risks accrued in one area to snowball into a full-blown crisis elsewhere. The COVID-19 pandemic and its socioeconomic fallouts exemplify this systemic chain-reaction. Onceinexorable forces of globalization are rupturing as the current global system can no longer be sustained due to poor governance and runaway wealth fractionation. The coronavirus pandemic is also enabling Big Tech to expropriate the levers of governments and mass communications worldwide. This paper concludes by highlighting how this development poses a dilemma for security professionals. </v>
      </c>
      <c r="G4" s="1" t="str">
        <f>IFERROR(__xludf.DUMMYFUNCTION("""COMPUTED_VALUE"""),"Talamantes WSU")</f>
        <v>Talamantes WSU</v>
      </c>
      <c r="H4" s="1" t="str">
        <f>IFERROR(__xludf.DUMMYFUNCTION("""COMPUTED_VALUE"""),"1 (due   )")</f>
        <v>1 (due   )</v>
      </c>
      <c r="I4" s="6" t="str">
        <f>IFERROR(__xludf.DUMMYFUNCTION("""COMPUTED_VALUE"""),"https://drive.google.com/open?id=1te4UZ77P0ET3zQMWcK4_mgXtL4Wtg6c1")</f>
        <v>https://drive.google.com/open?id=1te4UZ77P0ET3zQMWcK4_mgXtL4Wtg6c1</v>
      </c>
    </row>
    <row r="5">
      <c r="A5" s="1" t="str">
        <f>IFERROR(__xludf.DUMMYFUNCTION("""COMPUTED_VALUE"""),"Berlin, K. &amp; Willy, F. (24 August 2023). Transitioning to the clean energy grid: A deep dive into the levelized cost of electricity."" https://www.atlanticcouncil.org/in-depth-research-reports/issue-brief/transitioning-to-the-clean-energy-grid-a-deep-dive"&amp;"-into-the-levelized-cost-of-electricity/")</f>
        <v>Berlin, K. &amp; Willy, F. (24 August 2023). Transitioning to the clean energy grid: A deep dive into the levelized cost of electricity." https://www.atlanticcouncil.org/in-depth-research-reports/issue-brief/transitioning-to-the-clean-energy-grid-a-deep-dive-into-the-levelized-cost-of-electricity/</v>
      </c>
      <c r="B5" s="1" t="str">
        <f>IFERROR(__xludf.DUMMYFUNCTION("""COMPUTED_VALUE"""),"Ken Berlin is a Senior Fellow at the Atlantic Council. Frank Willy is a Program Assistant at the Atlantic Council, both have extensive experience in energy policy research")</f>
        <v>Ken Berlin is a Senior Fellow at the Atlantic Council. Frank Willy is a Program Assistant at the Atlantic Council, both have extensive experience in energy policy research</v>
      </c>
      <c r="C5" s="1" t="str">
        <f>IFERROR(__xludf.DUMMYFUNCTION("""COMPUTED_VALUE"""),"NEGATIVE")</f>
        <v>NEGATIVE</v>
      </c>
      <c r="D5" s="1" t="str">
        <f>IFERROR(__xludf.DUMMYFUNCTION("""COMPUTED_VALUE"""),"Carbon Bubble DA")</f>
        <v>Carbon Bubble DA</v>
      </c>
      <c r="E5" s="1" t="str">
        <f>IFERROR(__xludf.DUMMYFUNCTION("""COMPUTED_VALUE"""),"uses profitability metrics to determine how plan would be perceived by the fossil fuel industry, expense of building mass electric transmission accelerates the bubble bc it leaves assets stranded")</f>
        <v>uses profitability metrics to determine how plan would be perceived by the fossil fuel industry, expense of building mass electric transmission accelerates the bubble bc it leaves assets stranded</v>
      </c>
      <c r="F5" s="1"/>
      <c r="G5" s="1" t="str">
        <f>IFERROR(__xludf.DUMMYFUNCTION("""COMPUTED_VALUE"""),"Talamantes WSU")</f>
        <v>Talamantes WSU</v>
      </c>
      <c r="H5" s="1" t="str">
        <f>IFERROR(__xludf.DUMMYFUNCTION("""COMPUTED_VALUE"""),"1 (due   )")</f>
        <v>1 (due   )</v>
      </c>
      <c r="I5" s="6" t="str">
        <f>IFERROR(__xludf.DUMMYFUNCTION("""COMPUTED_VALUE"""),"https://drive.google.com/open?id=1gy0FQPeabBq-ml5PQ65lr2HoTYd8VEsm")</f>
        <v>https://drive.google.com/open?id=1gy0FQPeabBq-ml5PQ65lr2HoTYd8VEsm</v>
      </c>
    </row>
    <row r="6">
      <c r="A6" s="1" t="str">
        <f>IFERROR(__xludf.DUMMYFUNCTION("""COMPUTED_VALUE"""),"Blanford, G. (January 2021). “How does a carbon price impact electricity prices?”, EPRI, https://eea.epri.com/pdf/Back-Pocket-Insights/P201_Back_Pocket_Insights_Electricity_Carbon_Prices_Final.pdf")</f>
        <v>Blanford, G. (January 2021). “How does a carbon price impact electricity prices?”, EPRI, https://eea.epri.com/pdf/Back-Pocket-Insights/P201_Back_Pocket_Insights_Electricity_Carbon_Prices_Final.pdf</v>
      </c>
      <c r="B6" s="1" t="str">
        <f>IFERROR(__xludf.DUMMYFUNCTION("""COMPUTED_VALUE"""),"Geoffrey Blanford is a leading expert on integrated assessment and energy economy modeling, principal technical executive at the Electric Power Research Institute")</f>
        <v>Geoffrey Blanford is a leading expert on integrated assessment and energy economy modeling, principal technical executive at the Electric Power Research Institute</v>
      </c>
      <c r="C6" s="1" t="str">
        <f>IFERROR(__xludf.DUMMYFUNCTION("""COMPUTED_VALUE"""),"AFFIRMATIVE")</f>
        <v>AFFIRMATIVE</v>
      </c>
      <c r="D6" s="1" t="str">
        <f>IFERROR(__xludf.DUMMYFUNCTION("""COMPUTED_VALUE"""),"Carbon Bubble DA")</f>
        <v>Carbon Bubble DA</v>
      </c>
      <c r="E6" s="1" t="str">
        <f>IFERROR(__xludf.DUMMYFUNCTION("""COMPUTED_VALUE"""),"Carbon pricing solves collapse of the fossil fuel industry because investors will move towards CP technology due to financial incentive, offense for the carbon bubble DA")</f>
        <v>Carbon pricing solves collapse of the fossil fuel industry because investors will move towards CP technology due to financial incentive, offense for the carbon bubble DA</v>
      </c>
      <c r="F6" s="1"/>
      <c r="G6" s="1" t="str">
        <f>IFERROR(__xludf.DUMMYFUNCTION("""COMPUTED_VALUE"""),"Talamantes WSU")</f>
        <v>Talamantes WSU</v>
      </c>
      <c r="H6" s="1" t="str">
        <f>IFERROR(__xludf.DUMMYFUNCTION("""COMPUTED_VALUE"""),"1 (due   )")</f>
        <v>1 (due   )</v>
      </c>
      <c r="I6" s="6" t="str">
        <f>IFERROR(__xludf.DUMMYFUNCTION("""COMPUTED_VALUE"""),"https://drive.google.com/open?id=1LtVb5StQBOZSj6eTAHvauqsoRLqbTSML")</f>
        <v>https://drive.google.com/open?id=1LtVb5StQBOZSj6eTAHvauqsoRLqbTSML</v>
      </c>
    </row>
    <row r="7">
      <c r="A7" s="1" t="str">
        <f>IFERROR(__xludf.DUMMYFUNCTION("""COMPUTED_VALUE"""),"Walt, S. (13 May 2020). a Global Depression Trigger Another World War?”, Foreign Policy, https://foreignpolicy.com/2020/05/13/coronavirus-pandemic-depression-economy-world-war/")</f>
        <v>Walt, S. (13 May 2020). a Global Depression Trigger Another World War?”, Foreign Policy, https://foreignpolicy.com/2020/05/13/coronavirus-pandemic-depression-economy-world-war/</v>
      </c>
      <c r="B7" s="1" t="str">
        <f>IFERROR(__xludf.DUMMYFUNCTION("""COMPUTED_VALUE"""),"a columnist at Foreign Policy and the Robert and Renée Belfer professor of international relations at Harvard University.")</f>
        <v>a columnist at Foreign Policy and the Robert and Renée Belfer professor of international relations at Harvard University.</v>
      </c>
      <c r="C7" s="1" t="str">
        <f>IFERROR(__xludf.DUMMYFUNCTION("""COMPUTED_VALUE"""),"AFFIRMATIVE")</f>
        <v>AFFIRMATIVE</v>
      </c>
      <c r="D7" s="1" t="str">
        <f>IFERROR(__xludf.DUMMYFUNCTION("""COMPUTED_VALUE"""),"Carbon Bubble DA")</f>
        <v>Carbon Bubble DA</v>
      </c>
      <c r="E7" s="1" t="str">
        <f>IFERROR(__xludf.DUMMYFUNCTION("""COMPUTED_VALUE"""),"no correlation to war and economic decline, provides historical examples, no economic gain from war for the country's gdp, impact defense to Carbon bubble ")</f>
        <v>no correlation to war and economic decline, provides historical examples, no economic gain from war for the country's gdp, impact defense to Carbon bubble </v>
      </c>
      <c r="F7" s="1"/>
      <c r="G7" s="1" t="str">
        <f>IFERROR(__xludf.DUMMYFUNCTION("""COMPUTED_VALUE"""),"Talamantes WSU")</f>
        <v>Talamantes WSU</v>
      </c>
      <c r="H7" s="1" t="str">
        <f>IFERROR(__xludf.DUMMYFUNCTION("""COMPUTED_VALUE"""),"1 (due   )")</f>
        <v>1 (due   )</v>
      </c>
      <c r="I7" s="6" t="str">
        <f>IFERROR(__xludf.DUMMYFUNCTION("""COMPUTED_VALUE"""),"https://drive.google.com/open?id=1kKQvejM0dobUL4RUTyUdA_kRa6XR3dsk")</f>
        <v>https://drive.google.com/open?id=1kKQvejM0dobUL4RUTyUdA_kRa6XR3dsk</v>
      </c>
    </row>
    <row r="8">
      <c r="A8" s="1" t="str">
        <f>IFERROR(__xludf.DUMMYFUNCTION("""COMPUTED_VALUE"""),"Gould, T. (25 October 2018). ""Economic diversification for oil and gas exporters doesn’t mean leaving energy behind – Analysis"", IEA, https://www.iea.org/commentaries/economic-diversification-for-oil-and-gas-exporters-doesnt-mean-leaving-energy-behind")</f>
        <v>Gould, T. (25 October 2018). "Economic diversification for oil and gas exporters doesn’t mean leaving energy behind – Analysis", IEA, https://www.iea.org/commentaries/economic-diversification-for-oil-and-gas-exporters-doesnt-mean-leaving-energy-behind</v>
      </c>
      <c r="B8" s="1" t="str">
        <f>IFERROR(__xludf.DUMMYFUNCTION("""COMPUTED_VALUE"""),"Chief energy economist at the International Energy Agency, worked in energy policy for 15+ years, specializing in European energy policy research")</f>
        <v>Chief energy economist at the International Energy Agency, worked in energy policy for 15+ years, specializing in European energy policy research</v>
      </c>
      <c r="C8" s="1" t="str">
        <f>IFERROR(__xludf.DUMMYFUNCTION("""COMPUTED_VALUE"""),"AFFIRMATIVE")</f>
        <v>AFFIRMATIVE</v>
      </c>
      <c r="D8" s="1" t="str">
        <f>IFERROR(__xludf.DUMMYFUNCTION("""COMPUTED_VALUE"""),"Carbon Bubble DA ")</f>
        <v>Carbon Bubble DA </v>
      </c>
      <c r="E8" s="1" t="str">
        <f>IFERROR(__xludf.DUMMYFUNCTION("""COMPUTED_VALUE"""),"Link turn- transition to clean energy makes oil and gas companies more sustainable because they can slowly be phased out, assets will not be completely stranded and still of use, other countries prove")</f>
        <v>Link turn- transition to clean energy makes oil and gas companies more sustainable because they can slowly be phased out, assets will not be completely stranded and still of use, other countries prove</v>
      </c>
      <c r="F8" s="1"/>
      <c r="G8" s="1" t="str">
        <f>IFERROR(__xludf.DUMMYFUNCTION("""COMPUTED_VALUE"""),"Talamantes WSU")</f>
        <v>Talamantes WSU</v>
      </c>
      <c r="H8" s="1" t="str">
        <f>IFERROR(__xludf.DUMMYFUNCTION("""COMPUTED_VALUE"""),"1 (due   )")</f>
        <v>1 (due   )</v>
      </c>
      <c r="I8" s="6" t="str">
        <f>IFERROR(__xludf.DUMMYFUNCTION("""COMPUTED_VALUE"""),"https://drive.google.com/open?id=1JuTMHwM4c1KBDKEIoo3iChroTHRy-P3a")</f>
        <v>https://drive.google.com/open?id=1JuTMHwM4c1KBDKEIoo3iChroTHRy-P3a</v>
      </c>
    </row>
    <row r="9">
      <c r="A9" s="1" t="str">
        <f>IFERROR(__xludf.DUMMYFUNCTION("""COMPUTED_VALUE"""),"Fremstad, A. and Paul, M. (2019). The Impact of a Carbon Tax on Inequality. Science Direct, 88-97")</f>
        <v>Fremstad, A. and Paul, M. (2019). The Impact of a Carbon Tax on Inequality. Science Direct, 88-97</v>
      </c>
      <c r="B9" s="1" t="str">
        <f>IFERROR(__xludf.DUMMYFUNCTION("""COMPUTED_VALUE"""),"Fremstad: associate professor in the Economics Department at Colorado State University, teaching courses in microeconomics, environmental economics, and political economy.   Paul: Division of Social Sciences, New College of Florida ")</f>
        <v>Fremstad: associate professor in the Economics Department at Colorado State University, teaching courses in microeconomics, environmental economics, and political economy.   Paul: Division of Social Sciences, New College of Florida </v>
      </c>
      <c r="C9" s="1" t="str">
        <f>IFERROR(__xludf.DUMMYFUNCTION("""COMPUTED_VALUE"""),"MIXED")</f>
        <v>MIXED</v>
      </c>
      <c r="D9" s="1" t="str">
        <f>IFERROR(__xludf.DUMMYFUNCTION("""COMPUTED_VALUE"""),"Carbon Tax")</f>
        <v>Carbon Tax</v>
      </c>
      <c r="E9" s="1" t="str">
        <f>IFERROR(__xludf.DUMMYFUNCTION("""COMPUTED_VALUE"""),"Carbon tax can hurt low income households and make inequality worse in the United States. Argues for carbon tax revenue used to minimizing this.")</f>
        <v>Carbon tax can hurt low income households and make inequality worse in the United States. Argues for carbon tax revenue used to minimizing this.</v>
      </c>
      <c r="F9" s="1" t="str">
        <f>IFERROR(__xludf.DUMMYFUNCTION("""COMPUTED_VALUE"""),"Climate change and economic inequality are inextricably linked. Despite widespread agreement among researchers and policymakers that a carbon tax is the most efficient mechanism to curb greenhouse gas emissions, such a tax exacerbates inequality since low"&amp;"-income households spend a greater share of their income on carbon-intensive goods. Using Input-Output tables and detailed expenditure data for the United States, we estimate households' carbon footprints and examine the impact of a revenue-neutral tax of"&amp;" $50 per ton of CO2 on multiple forms of inequality. Devoting carbon tax revenue to fund a carbon dividend makes the policy progressive, minimizes redistribution among households of similar means, mitigates group-based inequalities, and benefits 56% of pe"&amp;"ople, including 84% in the bottom half of the distribution. While some researchers have dismissed dividends on efficiency grounds, we show that the double dividend typically associated with labor tax cuts is insufficient to protect the purchasing power of"&amp;" a majority of Americans.")</f>
        <v>Climate change and economic inequality are inextricably linked. Despite widespread agreement among researchers and policymakers that a carbon tax is the most efficient mechanism to curb greenhouse gas emissions, such a tax exacerbates inequality since low-income households spend a greater share of their income on carbon-intensive goods. Using Input-Output tables and detailed expenditure data for the United States, we estimate households' carbon footprints and examine the impact of a revenue-neutral tax of $50 per ton of CO2 on multiple forms of inequality. Devoting carbon tax revenue to fund a carbon dividend makes the policy progressive, minimizes redistribution among households of similar means, mitigates group-based inequalities, and benefits 56% of people, including 84% in the bottom half of the distribution. While some researchers have dismissed dividends on efficiency grounds, we show that the double dividend typically associated with labor tax cuts is insufficient to protect the purchasing power of a majority of Americans.</v>
      </c>
      <c r="G9" s="1" t="str">
        <f>IFERROR(__xludf.DUMMYFUNCTION("""COMPUTED_VALUE"""),"Halpin WWU")</f>
        <v>Halpin WWU</v>
      </c>
      <c r="H9" s="1" t="str">
        <f>IFERROR(__xludf.DUMMYFUNCTION("""COMPUTED_VALUE"""),"1 (due   )")</f>
        <v>1 (due   )</v>
      </c>
      <c r="I9" s="6" t="str">
        <f>IFERROR(__xludf.DUMMYFUNCTION("""COMPUTED_VALUE"""),"https://drive.google.com/open?id=1PASnQjZgnCxCms9D3JeztyUc3qMEsSP1")</f>
        <v>https://drive.google.com/open?id=1PASnQjZgnCxCms9D3JeztyUc3qMEsSP1</v>
      </c>
    </row>
    <row r="10">
      <c r="A10" s="1" t="str">
        <f>IFERROR(__xludf.DUMMYFUNCTION("""COMPUTED_VALUE"""),"Kallis, G. (2015). The Degrowth Alternative. Great Transition Initiative.")</f>
        <v>Kallis, G. (2015). The Degrowth Alternative. Great Transition Initiative.</v>
      </c>
      <c r="B10" s="1" t="str">
        <f>IFERROR(__xludf.DUMMYFUNCTION("""COMPUTED_VALUE"""),"Kallis is an ecological economist and political ecologist, and a professor at ICTA, Barcelona. Previously a Marie Curie Fellow at the Energy and Resources Group of UC Berkeley, Giorgos holds also a Ph.D. in Environmental Policy from the University of the "&amp;"Aegean, a Masters in Economics from Universitat Pompeu Fabra, and a Masters in Environmental Engineering and a Bachelors in Chemistry from Imperial College, London.")</f>
        <v>Kallis is an ecological economist and political ecologist, and a professor at ICTA, Barcelona. Previously a Marie Curie Fellow at the Energy and Resources Group of UC Berkeley, Giorgos holds also a Ph.D. in Environmental Policy from the University of the Aegean, a Masters in Economics from Universitat Pompeu Fabra, and a Masters in Environmental Engineering and a Bachelors in Chemistry from Imperial College, London.</v>
      </c>
      <c r="C10" s="1" t="str">
        <f>IFERROR(__xludf.DUMMYFUNCTION("""COMPUTED_VALUE"""),"MIXED")</f>
        <v>MIXED</v>
      </c>
      <c r="D10" s="1" t="str">
        <f>IFERROR(__xludf.DUMMYFUNCTION("""COMPUTED_VALUE"""),"Degrowth and K")</f>
        <v>Degrowth and K</v>
      </c>
      <c r="E10" s="1" t="str">
        <f>IFERROR(__xludf.DUMMYFUNCTION("""COMPUTED_VALUE"""),"Summarizes degrowth as an alternative to capitalism and green growth")</f>
        <v>Summarizes degrowth as an alternative to capitalism and green growth</v>
      </c>
      <c r="F10" s="1" t="str">
        <f>IFERROR(__xludf.DUMMYFUNCTION("""COMPUTED_VALUE"""),"Both the name and the theory of degrowth aim explicitly to repoliticize environmentalism. Sustainable development and its more recent reincarnation “green growth” depoliticize genuine political antagonisms between alternative visions for the future. They "&amp;"render environmental problems technical, promising win-win solutions and the impossible goal of perpetuating economic growth without harming the environment. Ecologizing society, degrowthers argue, is not about implementing an alternative, better, or gree"&amp;"ner development. It is about imagining and enacting alternative visions to modern growth-based development. This essay explores such alternatives and identifies grassroots practices and political changes for facilitating a transition to a prosperous and e"&amp;"quitable world without growth.")</f>
        <v>Both the name and the theory of degrowth aim explicitly to repoliticize environmentalism. Sustainable development and its more recent reincarnation “green growth” depoliticize genuine political antagonisms between alternative visions for the future. They render environmental problems technical, promising win-win solutions and the impossible goal of perpetuating economic growth without harming the environment. Ecologizing society, degrowthers argue, is not about implementing an alternative, better, or greener development. It is about imagining and enacting alternative visions to modern growth-based development. This essay explores such alternatives and identifies grassroots practices and political changes for facilitating a transition to a prosperous and equitable world without growth.</v>
      </c>
      <c r="G10" s="1" t="str">
        <f>IFERROR(__xludf.DUMMYFUNCTION("""COMPUTED_VALUE"""),"Mooney Hillsdale")</f>
        <v>Mooney Hillsdale</v>
      </c>
      <c r="H10" s="1" t="str">
        <f>IFERROR(__xludf.DUMMYFUNCTION("""COMPUTED_VALUE"""),"1 (due   )")</f>
        <v>1 (due   )</v>
      </c>
      <c r="I10" s="6" t="str">
        <f>IFERROR(__xludf.DUMMYFUNCTION("""COMPUTED_VALUE"""),"https://drive.google.com/open?id=1nUfjNx_1CY2XM4tTGae6lSN5TclEhIBn")</f>
        <v>https://drive.google.com/open?id=1nUfjNx_1CY2XM4tTGae6lSN5TclEhIBn</v>
      </c>
    </row>
    <row r="11">
      <c r="A11" s="1" t="str">
        <f>IFERROR(__xludf.DUMMYFUNCTION("""COMPUTED_VALUE"""),"Buchs, M. Koch, M. (2018). Challenges for the degrowth transition: The debate about wellbeing. Futures, Volume 105, 155-165")</f>
        <v>Buchs, M. Koch, M. (2018). Challenges for the degrowth transition: The debate about wellbeing. Futures, Volume 105, 155-165</v>
      </c>
      <c r="B11" s="1" t="str">
        <f>IFERROR(__xludf.DUMMYFUNCTION("""COMPUTED_VALUE"""),"Buchs: Sustainability Research Institute, School of Earth and Environment, University of Leeds. Koch: b Faculty of Social Sciences, Socialhögskolan, Lund University.")</f>
        <v>Buchs: Sustainability Research Institute, School of Earth and Environment, University of Leeds. Koch: b Faculty of Social Sciences, Socialhögskolan, Lund University.</v>
      </c>
      <c r="C11" s="1" t="str">
        <f>IFERROR(__xludf.DUMMYFUNCTION("""COMPUTED_VALUE"""),"MIXED")</f>
        <v>MIXED</v>
      </c>
      <c r="D11" s="1" t="str">
        <f>IFERROR(__xludf.DUMMYFUNCTION("""COMPUTED_VALUE"""),"Degrowth and K")</f>
        <v>Degrowth and K</v>
      </c>
      <c r="E11" s="1" t="str">
        <f>IFERROR(__xludf.DUMMYFUNCTION("""COMPUTED_VALUE"""),"While supportive of degrowth, this article discusses the real difficulties with implementation. It is useful for an implementation debate from the degrowth and green growth perspective")</f>
        <v>While supportive of degrowth, this article discusses the real difficulties with implementation. It is useful for an implementation debate from the degrowth and green growth perspective</v>
      </c>
      <c r="F11" s="1" t="str">
        <f>IFERROR(__xludf.DUMMYFUNCTION("""COMPUTED_VALUE"""),"Degrowth scholars and activists have convincingly argued that degrowth in developed nations will need to be part of a global effort to tackle climate change, and to preserve the conditions for future generations’ basic needs satisfaction. However, the bar"&amp;"riers to building a broader degrowth movement appear to be very entrenched at present. To improve the political feasibility of degrowth it is important to better understand these structural obstacles and develop arguments and strategies to address them. T"&amp;"o contribute to the degrowth debate we focus in this paper on current generations in rich countries and their concerns about possible short- to medium term wellbeing outcomes of degrowth. In particular, we highlight the ‘growth lock-in’ of current societi"&amp;"es and how a transition away from this model might therefore affect wellbeing. We also argue that taking the basic human needs framework as a new ‘measuring rod’ for wellbeing outcomes is suitable for a degrowth context, but likely to clash with people’s "&amp;"current expectations of ever improving health and wellbeing outcomes. We propose that deliberative forums on future needs satisfaction can help establish a ‘dialogue’ between current and future generations which could support cultural shifts on wellbeing "&amp;"thinking which will be much needed for advancing the cause for degrowth.")</f>
        <v>Degrowth scholars and activists have convincingly argued that degrowth in developed nations will need to be part of a global effort to tackle climate change, and to preserve the conditions for future generations’ basic needs satisfaction. However, the barriers to building a broader degrowth movement appear to be very entrenched at present. To improve the political feasibility of degrowth it is important to better understand these structural obstacles and develop arguments and strategies to address them. To contribute to the degrowth debate we focus in this paper on current generations in rich countries and their concerns about possible short- to medium term wellbeing outcomes of degrowth. In particular, we highlight the ‘growth lock-in’ of current societies and how a transition away from this model might therefore affect wellbeing. We also argue that taking the basic human needs framework as a new ‘measuring rod’ for wellbeing outcomes is suitable for a degrowth context, but likely to clash with people’s current expectations of ever improving health and wellbeing outcomes. We propose that deliberative forums on future needs satisfaction can help establish a ‘dialogue’ between current and future generations which could support cultural shifts on wellbeing thinking which will be much needed for advancing the cause for degrowth.</v>
      </c>
      <c r="G11" s="1" t="str">
        <f>IFERROR(__xludf.DUMMYFUNCTION("""COMPUTED_VALUE"""),"Mooney Hillsdale")</f>
        <v>Mooney Hillsdale</v>
      </c>
      <c r="H11" s="1" t="str">
        <f>IFERROR(__xludf.DUMMYFUNCTION("""COMPUTED_VALUE"""),"1 (due   )")</f>
        <v>1 (due   )</v>
      </c>
      <c r="I11" s="6" t="str">
        <f>IFERROR(__xludf.DUMMYFUNCTION("""COMPUTED_VALUE"""),"https://drive.google.com/open?id=1rb7J3M6bx1lOfNBW1Wvnsx9SXDDHReCD")</f>
        <v>https://drive.google.com/open?id=1rb7J3M6bx1lOfNBW1Wvnsx9SXDDHReCD</v>
      </c>
    </row>
    <row r="12">
      <c r="A12" s="1" t="str">
        <f>IFERROR(__xludf.DUMMYFUNCTION("""COMPUTED_VALUE"""),"Diedrich, G. (2023). “State Cap-and-Trade Programs,” Forest Carbon and Climate Program within the Department of Forestry at Michigan State University, https://www.canr.msu.edu/fccp/Uploads/Files/2b.%20Cap%20and%20Trade_FINAL_v2.pdf")</f>
        <v>Diedrich, G. (2023). “State Cap-and-Trade Programs,” Forest Carbon and Climate Program within the Department of Forestry at Michigan State University, https://www.canr.msu.edu/fccp/Uploads/Files/2b.%20Cap%20and%20Trade_FINAL_v2.pdf</v>
      </c>
      <c r="B12" s="1" t="str">
        <f>IFERROR(__xludf.DUMMYFUNCTION("""COMPUTED_VALUE"""),"Graham Diedrich is a masters student at Michigan State University, pursuing a Master of Science (M.S.) in Data Science with focus on environmental policy and climate change. His research centers on sustainable resource governance, environmental justice, a"&amp;"nd clean energy systems, former fellow with Dept of Clean Energy and Center for Environmental Justice")</f>
        <v>Graham Diedrich is a masters student at Michigan State University, pursuing a Master of Science (M.S.) in Data Science with focus on environmental policy and climate change. His research centers on sustainable resource governance, environmental justice, and clean energy systems, former fellow with Dept of Clean Energy and Center for Environmental Justice</v>
      </c>
      <c r="C12" s="1" t="str">
        <f>IFERROR(__xludf.DUMMYFUNCTION("""COMPUTED_VALUE"""),"AFFIRMATIVE")</f>
        <v>AFFIRMATIVE</v>
      </c>
      <c r="D12" s="1" t="str">
        <f>IFERROR(__xludf.DUMMYFUNCTION("""COMPUTED_VALUE"""),"Emissions Trading")</f>
        <v>Emissions Trading</v>
      </c>
      <c r="E12" s="1" t="str">
        <f>IFERROR(__xludf.DUMMYFUNCTION("""COMPUTED_VALUE"""),"different examples of state based cap and trade programs, knowledge based article that explains the program, impact scenario- forest health that is key to planetary health")</f>
        <v>different examples of state based cap and trade programs, knowledge based article that explains the program, impact scenario- forest health that is key to planetary health</v>
      </c>
      <c r="F12" s="1"/>
      <c r="G12" s="1" t="str">
        <f>IFERROR(__xludf.DUMMYFUNCTION("""COMPUTED_VALUE"""),"Talamantes WSU")</f>
        <v>Talamantes WSU</v>
      </c>
      <c r="H12" s="1" t="str">
        <f>IFERROR(__xludf.DUMMYFUNCTION("""COMPUTED_VALUE"""),"1 (due   )")</f>
        <v>1 (due   )</v>
      </c>
      <c r="I12" s="6" t="str">
        <f>IFERROR(__xludf.DUMMYFUNCTION("""COMPUTED_VALUE"""),"https://drive.google.com/open?id=1vsu1QJc33cNFFIfoaA3fBJ2kl9cm91c7")</f>
        <v>https://drive.google.com/open?id=1vsu1QJc33cNFFIfoaA3fBJ2kl9cm91c7</v>
      </c>
    </row>
    <row r="13">
      <c r="A13" s="1" t="str">
        <f>IFERROR(__xludf.DUMMYFUNCTION("""COMPUTED_VALUE"""),"McGrath, M. (6 August 2018). “Climate change: 'Hothouse Earth' risks even if CO2 emissions slashed” BBC, https://www.bbc.com/news/science-environment-45084144")</f>
        <v>McGrath, M. (6 August 2018). “Climate change: 'Hothouse Earth' risks even if CO2 emissions slashed” BBC, https://www.bbc.com/news/science-environment-45084144</v>
      </c>
      <c r="B13" s="1" t="str">
        <f>IFERROR(__xludf.DUMMYFUNCTION("""COMPUTED_VALUE"""),"Environmental Correspondent for BBC news services")</f>
        <v>Environmental Correspondent for BBC news services</v>
      </c>
      <c r="C13" s="1" t="str">
        <f>IFERROR(__xludf.DUMMYFUNCTION("""COMPUTED_VALUE"""),"AFFIRMATIVE")</f>
        <v>AFFIRMATIVE</v>
      </c>
      <c r="D13" s="1" t="str">
        <f>IFERROR(__xludf.DUMMYFUNCTION("""COMPUTED_VALUE"""),"Emissions Trading")</f>
        <v>Emissions Trading</v>
      </c>
      <c r="E13" s="1" t="str">
        <f>IFERROR(__xludf.DUMMYFUNCTION("""COMPUTED_VALUE"""),"Need to start finding decarbonization methods due to massive impacts of climate change we're already seeing, decarbonization methods are the only way to solve for rapid escalation")</f>
        <v>Need to start finding decarbonization methods due to massive impacts of climate change we're already seeing, decarbonization methods are the only way to solve for rapid escalation</v>
      </c>
      <c r="F13" s="1"/>
      <c r="G13" s="1" t="str">
        <f>IFERROR(__xludf.DUMMYFUNCTION("""COMPUTED_VALUE"""),"Talamantes WSU")</f>
        <v>Talamantes WSU</v>
      </c>
      <c r="H13" s="1" t="str">
        <f>IFERROR(__xludf.DUMMYFUNCTION("""COMPUTED_VALUE"""),"1 (due   )")</f>
        <v>1 (due   )</v>
      </c>
      <c r="I13" s="6" t="str">
        <f>IFERROR(__xludf.DUMMYFUNCTION("""COMPUTED_VALUE"""),"https://drive.google.com/open?id=1ncyiHFNw-XQRVuV44VWeDW98I-_Hex3Z")</f>
        <v>https://drive.google.com/open?id=1ncyiHFNw-XQRVuV44VWeDW98I-_Hex3Z</v>
      </c>
    </row>
    <row r="14">
      <c r="A14" s="1" t="str">
        <f>IFERROR(__xludf.DUMMYFUNCTION("""COMPUTED_VALUE"""),"Todd, J. (2023). Climate Cap and Trade and Pollution Hotspots: An Economics Perspective, Georgia State University Law Review, 39(4)")</f>
        <v>Todd, J. (2023). Climate Cap and Trade and Pollution Hotspots: An Economics Perspective, Georgia State University Law Review, 39(4)</v>
      </c>
      <c r="B14" s="1" t="str">
        <f>IFERROR(__xludf.DUMMYFUNCTION("""COMPUTED_VALUE"""),"Jeff Todd is an Associate Professor of Business Law, Department of Finance &amp; Economics, Texas State University. This Article is based on research conducted with the aid of a Dean’s Summer Research Stipend")</f>
        <v>Jeff Todd is an Associate Professor of Business Law, Department of Finance &amp; Economics, Texas State University. This Article is based on research conducted with the aid of a Dean’s Summer Research Stipend</v>
      </c>
      <c r="C14" s="1" t="str">
        <f>IFERROR(__xludf.DUMMYFUNCTION("""COMPUTED_VALUE"""),"NEGATIVE")</f>
        <v>NEGATIVE</v>
      </c>
      <c r="D14" s="1" t="str">
        <f>IFERROR(__xludf.DUMMYFUNCTION("""COMPUTED_VALUE"""),"Emissions Trading")</f>
        <v>Emissions Trading</v>
      </c>
      <c r="E14" s="1" t="str">
        <f>IFERROR(__xludf.DUMMYFUNCTION("""COMPUTED_VALUE"""),"Cap and trade creating pollutants in marginalized neighborhoods, creates adverse impacts and doesn't reduce ghg emissions by a lot ")</f>
        <v>Cap and trade creating pollutants in marginalized neighborhoods, creates adverse impacts and doesn't reduce ghg emissions by a lot </v>
      </c>
      <c r="F14" s="1" t="str">
        <f>IFERROR(__xludf.DUMMYFUNCTION("""COMPUTED_VALUE"""),"Although cap and trade is overwhelmingly preferred by economists for reducing greenhouse gases and spurring the adoption of renewables and other zero-carbon alternatives, some scholars and advocates worry that it allows firms to concentrate operations in "&amp;"poor and minority neighborhoods, thus leading to hot spots of harmful copollutants. Commentators differ on the danger of hot spots and the necessity of adjusting cap-and-trade programs to avoid them, however. This Article therefore surveys ex post economi"&amp;"c studies of cap-and-trade programs to show that they do not lead to hot spots but may actually cool them—perhaps even better than command-andcontrol regulation. Accordingly, cap and trade unencumbered by unnecessary restrictions should be part of the pol"&amp;"icy mix for a just
energy transition. ")</f>
        <v>Although cap and trade is overwhelmingly preferred by economists for reducing greenhouse gases and spurring the adoption of renewables and other zero-carbon alternatives, some scholars and advocates worry that it allows firms to concentrate operations in poor and minority neighborhoods, thus leading to hot spots of harmful copollutants. Commentators differ on the danger of hot spots and the necessity of adjusting cap-and-trade programs to avoid them, however. This Article therefore surveys ex post economic studies of cap-and-trade programs to show that they do not lead to hot spots but may actually cool them—perhaps even better than command-andcontrol regulation. Accordingly, cap and trade unencumbered by unnecessary restrictions should be part of the policy mix for a just
energy transition. </v>
      </c>
      <c r="G14" s="1" t="str">
        <f>IFERROR(__xludf.DUMMYFUNCTION("""COMPUTED_VALUE"""),"Talamantes WSU")</f>
        <v>Talamantes WSU</v>
      </c>
      <c r="H14" s="1" t="str">
        <f>IFERROR(__xludf.DUMMYFUNCTION("""COMPUTED_VALUE"""),"1 (due   )")</f>
        <v>1 (due   )</v>
      </c>
      <c r="I14" s="6" t="str">
        <f>IFERROR(__xludf.DUMMYFUNCTION("""COMPUTED_VALUE"""),"https://drive.google.com/open?id=1hjGVKjnIAgcuGMLnq1Yw3TwNNAGqKXIl")</f>
        <v>https://drive.google.com/open?id=1hjGVKjnIAgcuGMLnq1Yw3TwNNAGqKXIl</v>
      </c>
    </row>
    <row r="15">
      <c r="A15" s="1" t="str">
        <f>IFERROR(__xludf.DUMMYFUNCTION("""COMPUTED_VALUE"""),"Driesen, D. M., &amp; Mehling, M. A. (2023). Pricing, decarbonization, and green new deals. Wm. &amp; Mary Env't L. &amp; Pol'y Rev., 48, 211.")</f>
        <v>Driesen, D. M., &amp; Mehling, M. A. (2023). Pricing, decarbonization, and green new deals. Wm. &amp; Mary Env't L. &amp; Pol'y Rev., 48, 211.</v>
      </c>
      <c r="B15" s="1" t="str">
        <f>IFERROR(__xludf.DUMMYFUNCTION("""COMPUTED_VALUE"""),"David M. Driesen is University Professor at Syracuse University College of Law. He is the author of The Economic Dynamics of Environmental Law (MIT Press, 2003), winner of the 2004 Lynton Keith Caldwell Award for best book on environmental policy, present"&amp;"ed by the American Political Science Association.")</f>
        <v>David M. Driesen is University Professor at Syracuse University College of Law. He is the author of The Economic Dynamics of Environmental Law (MIT Press, 2003), winner of the 2004 Lynton Keith Caldwell Award for best book on environmental policy, presented by the American Political Science Association.</v>
      </c>
      <c r="C15" s="1" t="str">
        <f>IFERROR(__xludf.DUMMYFUNCTION("""COMPUTED_VALUE"""),"NEGATIVE")</f>
        <v>NEGATIVE</v>
      </c>
      <c r="D15" s="1" t="str">
        <f>IFERROR(__xludf.DUMMYFUNCTION("""COMPUTED_VALUE"""),"Emissions Trading")</f>
        <v>Emissions Trading</v>
      </c>
      <c r="E15" s="1" t="str">
        <f>IFERROR(__xludf.DUMMYFUNCTION("""COMPUTED_VALUE"""),"Cap and Trade programs produce short term advantages, at the cost of long term change.  It's inherently unambitious both in pricing, and the percentage of emissions that it can actually impact.")</f>
        <v>Cap and Trade programs produce short term advantages, at the cost of long term change.  It's inherently unambitious both in pricing, and the percentage of emissions that it can actually impact.</v>
      </c>
      <c r="F15" s="1" t="str">
        <f>IFERROR(__xludf.DUMMYFUNCTION("""COMPUTED_VALUE"""),"This Article evaluates an emerging literature claiming that carbon pricing (emissions trading or carbon taxes) has not performed very well and therefore cannot be the basis for the sort of transformative change now required to address the climate crisis. "&amp;"This is an important claim, as carbon pricing has been viewed as being at the heart of global efforts to address one of our most important contemporary problems. We provide theoretical and empirical support for these critics’ claim that carbon pricing by "&amp;"itself cannot catalyze the technological transformation now required, and that other approaches have done and will likely do better. We also agree with critics that pricing approaches have suffered from insufficient ambition and effectiveness in routine e"&amp;"mission reductions. But we do not think that the critics have shown that alternative approaches have and will perform better in those terms. We develop a framework for enhancing empirical evaluation of past programs, as we now have a wealth of experience "&amp;"with both carbon pricing and a variety of alternatives, but a dearth of econometric comparative studies of past performance. We also explore the normative implications of the critics’ claims. We argue that even if they are entirely right, we should welcom"&amp;"e even insufficiently ambitious pollution taxes as likely to enhance other programs and raise revenue to support them. We point out, however, that the trading programs now common around the world may undermine rather than support more successful programs "&amp;"and suggest that regulators consider cap-without-trade (imposing mass-based caps on pollution sources without allowing the trading of obligations) as an alternative. We also discuss the possibility of overcoming the critics’ objections by improving carbon"&amp;" pricing programs.")</f>
        <v>This Article evaluates an emerging literature claiming that carbon pricing (emissions trading or carbon taxes) has not performed very well and therefore cannot be the basis for the sort of transformative change now required to address the climate crisis. This is an important claim, as carbon pricing has been viewed as being at the heart of global efforts to address one of our most important contemporary problems. We provide theoretical and empirical support for these critics’ claim that carbon pricing by itself cannot catalyze the technological transformation now required, and that other approaches have done and will likely do better. We also agree with critics that pricing approaches have suffered from insufficient ambition and effectiveness in routine emission reductions. But we do not think that the critics have shown that alternative approaches have and will perform better in those terms. We develop a framework for enhancing empirical evaluation of past programs, as we now have a wealth of experience with both carbon pricing and a variety of alternatives, but a dearth of econometric comparative studies of past performance. We also explore the normative implications of the critics’ claims. We argue that even if they are entirely right, we should welcome even insufficiently ambitious pollution taxes as likely to enhance other programs and raise revenue to support them. We point out, however, that the trading programs now common around the world may undermine rather than support more successful programs and suggest that regulators consider cap-without-trade (imposing mass-based caps on pollution sources without allowing the trading of obligations) as an alternative. We also discuss the possibility of overcoming the critics’ objections by improving carbon pricing programs.</v>
      </c>
      <c r="G15" s="1" t="str">
        <f>IFERROR(__xludf.DUMMYFUNCTION("""COMPUTED_VALUE"""),"Parkin WSU")</f>
        <v>Parkin WSU</v>
      </c>
      <c r="H15" s="1" t="str">
        <f>IFERROR(__xludf.DUMMYFUNCTION("""COMPUTED_VALUE"""),"1 (due   )")</f>
        <v>1 (due   )</v>
      </c>
      <c r="I15" s="6" t="str">
        <f>IFERROR(__xludf.DUMMYFUNCTION("""COMPUTED_VALUE"""),"https://drive.google.com/open?id=1QMzKOMerUCQy5zfyOFjN0tgsfeRswtgw")</f>
        <v>https://drive.google.com/open?id=1QMzKOMerUCQy5zfyOFjN0tgsfeRswtgw</v>
      </c>
    </row>
    <row r="16">
      <c r="A16" s="1" t="str">
        <f>IFERROR(__xludf.DUMMYFUNCTION("""COMPUTED_VALUE"""),"Espinosa-Flor, S. I. (2022). A right to pollute versus a duty to mitigate: on the basis of emissions trading and carbon markets. Climate Policy, 22(7), 950-960.")</f>
        <v>Espinosa-Flor, S. I. (2022). A right to pollute versus a duty to mitigate: on the basis of emissions trading and carbon markets. Climate Policy, 22(7), 950-960.</v>
      </c>
      <c r="B16" s="1" t="str">
        <f>IFERROR(__xludf.DUMMYFUNCTION("""COMPUTED_VALUE"""),"Dr. Espinoza has a PHD specializing in Environmental Philosophy, Climate Ethics, Philosophy of Science.")</f>
        <v>Dr. Espinoza has a PHD specializing in Environmental Philosophy, Climate Ethics, Philosophy of Science.</v>
      </c>
      <c r="C16" s="1" t="str">
        <f>IFERROR(__xludf.DUMMYFUNCTION("""COMPUTED_VALUE"""),"NEGATIVE")</f>
        <v>NEGATIVE</v>
      </c>
      <c r="D16" s="1" t="str">
        <f>IFERROR(__xludf.DUMMYFUNCTION("""COMPUTED_VALUE"""),"Emissions Trading")</f>
        <v>Emissions Trading</v>
      </c>
      <c r="E16" s="1" t="str">
        <f>IFERROR(__xludf.DUMMYFUNCTION("""COMPUTED_VALUE"""),"It makes ethical case args; how do you fairly distribute permits? How do you chose an ethical price limit?  Outlines core controversies regarding the specifics of trading.")</f>
        <v>It makes ethical case args; how do you fairly distribute permits? How do you chose an ethical price limit?  Outlines core controversies regarding the specifics of trading.</v>
      </c>
      <c r="F16" s="1" t="str">
        <f>IFERROR(__xludf.DUMMYFUNCTION("""COMPUTED_VALUE"""),"Emissions trading, also known as cap-and-trade systems, has not yet fulfilled its function of mitigating overall global greenhouse gas (GHG) emissions. The reasons for this failure are manifold and have been broadly discussed at political and empirical le"&amp;"vels in the last decades. However, much can still be said from a philosophical perspective. Such an analysis is not limited to the evaluation of cap-and-trade systems’ lack of efficiency and the consequences arising from it but goes deeper into the moral "&amp;"questions underlying cap-and-trade systems. This is how this paper attempts to contribute to and expand the debate on emissions trading at different levels. By examining a popular analogy between traditional and climate commons, I challenge some of the ec"&amp;"onomic and normative assumptions at the core of cap-and-trade systems. I argue that these assumptions lead to misguided conclusions in responding to the causes of climate change. This will partly explain why, although emissions trading is intended to fulf"&amp;"il a duty to mitigate greenhouse gases, we should not pin all our hopes on it just yet.")</f>
        <v>Emissions trading, also known as cap-and-trade systems, has not yet fulfilled its function of mitigating overall global greenhouse gas (GHG) emissions. The reasons for this failure are manifold and have been broadly discussed at political and empirical levels in the last decades. However, much can still be said from a philosophical perspective. Such an analysis is not limited to the evaluation of cap-and-trade systems’ lack of efficiency and the consequences arising from it but goes deeper into the moral questions underlying cap-and-trade systems. This is how this paper attempts to contribute to and expand the debate on emissions trading at different levels. By examining a popular analogy between traditional and climate commons, I challenge some of the economic and normative assumptions at the core of cap-and-trade systems. I argue that these assumptions lead to misguided conclusions in responding to the causes of climate change. This will partly explain why, although emissions trading is intended to fulfil a duty to mitigate greenhouse gases, we should not pin all our hopes on it just yet.</v>
      </c>
      <c r="G16" s="1" t="str">
        <f>IFERROR(__xludf.DUMMYFUNCTION("""COMPUTED_VALUE"""),"Parkin WSU")</f>
        <v>Parkin WSU</v>
      </c>
      <c r="H16" s="1" t="str">
        <f>IFERROR(__xludf.DUMMYFUNCTION("""COMPUTED_VALUE"""),"1 (due   )")</f>
        <v>1 (due   )</v>
      </c>
      <c r="I16" s="6" t="str">
        <f>IFERROR(__xludf.DUMMYFUNCTION("""COMPUTED_VALUE"""),"https://drive.google.com/open?id=1bWZnPn9EgUgD8PhFK8zWBLuN6dpVwISI")</f>
        <v>https://drive.google.com/open?id=1bWZnPn9EgUgD8PhFK8zWBLuN6dpVwISI</v>
      </c>
    </row>
    <row r="17">
      <c r="A17" s="1" t="str">
        <f>IFERROR(__xludf.DUMMYFUNCTION("""COMPUTED_VALUE"""),"Socas, J. et al. (April 2024). “Greasing the Wheels’ of Decarbonization: A Primer on Global Carbon Markets”. Investcorp, https://www.investcorp.com/wp-content/uploads/2024/04/The-Global-Carbon-Markets-April-2024-vF.pdf")</f>
        <v>Socas, J. et al. (April 2024). “Greasing the Wheels’ of Decarbonization: A Primer on Global Carbon Markets”. Investcorp, https://www.investcorp.com/wp-content/uploads/2024/04/The-Global-Carbon-Markets-April-2024-vF.pdf</v>
      </c>
      <c r="B17" s="1" t="str">
        <f>IFERROR(__xludf.DUMMYFUNCTION("""COMPUTED_VALUE"""),"James Socas is the Managing Director and Global Head of Investcorp’s Climate Solutions")</f>
        <v>James Socas is the Managing Director and Global Head of Investcorp’s Climate Solutions</v>
      </c>
      <c r="C17" s="1" t="str">
        <f>IFERROR(__xludf.DUMMYFUNCTION("""COMPUTED_VALUE"""),"AFFIRMATIVE")</f>
        <v>AFFIRMATIVE</v>
      </c>
      <c r="D17" s="1" t="str">
        <f>IFERROR(__xludf.DUMMYFUNCTION("""COMPUTED_VALUE"""),"Emissions Trading")</f>
        <v>Emissions Trading</v>
      </c>
      <c r="E17" s="1" t="str">
        <f>IFERROR(__xludf.DUMMYFUNCTION("""COMPUTED_VALUE"""),"Carbon markets as they currently exist lack enforcement of penalties, are fragmented, and prove the insufficiency of state based approaches – reform to a federal level key, solvency advocate for CT")</f>
        <v>Carbon markets as they currently exist lack enforcement of penalties, are fragmented, and prove the insufficiency of state based approaches – reform to a federal level key, solvency advocate for CT</v>
      </c>
      <c r="F17" s="1"/>
      <c r="G17" s="1" t="str">
        <f>IFERROR(__xludf.DUMMYFUNCTION("""COMPUTED_VALUE"""),"Talamantes WSU")</f>
        <v>Talamantes WSU</v>
      </c>
      <c r="H17" s="1" t="str">
        <f>IFERROR(__xludf.DUMMYFUNCTION("""COMPUTED_VALUE"""),"1 (due   )")</f>
        <v>1 (due   )</v>
      </c>
      <c r="I17" s="6" t="str">
        <f>IFERROR(__xludf.DUMMYFUNCTION("""COMPUTED_VALUE"""),"https://drive.google.com/open?id=1jpGJpbAvcu0CESVSd8zdMkle88VE82yb")</f>
        <v>https://drive.google.com/open?id=1jpGJpbAvcu0CESVSd8zdMkle88VE82yb</v>
      </c>
    </row>
    <row r="18">
      <c r="A18" s="1" t="str">
        <f>IFERROR(__xludf.DUMMYFUNCTION("""COMPUTED_VALUE"""),"Cohen, D., Cha, J., Graetz, N., Singhal, A., Sen, R. (2023) Securing Climate Justice Federally: A Political Economy Approach to Targeted Investments. Environmental Justice, 15(5), 351-359")</f>
        <v>Cohen, D., Cha, J., Graetz, N., Singhal, A., Sen, R. (2023) Securing Climate Justice Federally: A Political Economy Approach to Targeted Investments. Environmental Justice, 15(5), 351-359</v>
      </c>
      <c r="B18" s="1" t="str">
        <f>IFERROR(__xludf.DUMMYFUNCTION("""COMPUTED_VALUE"""),"iversity of California, Berkeley, Berkeley, California, USA. Dr.J. Mijin Cha is an Associate Professor of Urban and Environmental Policy at Occidental College, Los Angeles, California, USA. Dr.Nick Graetz isa postdoctoral scholar in Suciolopy at Princeton"&amp;" University, Princeton, New Jersey, USA. Aaryaman Singhal isa masters student at the Energy Resources Group at University of California, Berkeley, Berkeley, California, USA. Raka Sen is PhD Candidate in Sociology atL niversity of Pennsylvania, Philadelphi"&amp;"a, Pennsylvania, USA.")</f>
        <v>iversity of California, Berkeley, Berkeley, California, USA. Dr.J. Mijin Cha is an Associate Professor of Urban and Environmental Policy at Occidental College, Los Angeles, California, USA. Dr.Nick Graetz isa postdoctoral scholar in Suciolopy at Princeton University, Princeton, New Jersey, USA. Aaryaman Singhal isa masters student at the Energy Resources Group at University of California, Berkeley, Berkeley, California, USA. Raka Sen is PhD Candidate in Sociology atL niversity of Pennsylvania, Philadelphia, Pennsylvania, USA.</v>
      </c>
      <c r="C18" s="1" t="str">
        <f>IFERROR(__xludf.DUMMYFUNCTION("""COMPUTED_VALUE"""),"AFFIRMATIVE")</f>
        <v>AFFIRMATIVE</v>
      </c>
      <c r="D18" s="1" t="str">
        <f>IFERROR(__xludf.DUMMYFUNCTION("""COMPUTED_VALUE"""),"Environmental Justice")</f>
        <v>Environmental Justice</v>
      </c>
      <c r="E18" s="1" t="str">
        <f>IFERROR(__xludf.DUMMYFUNCTION("""COMPUTED_VALUE"""),"a political economy approach to secure climate justice ")</f>
        <v>a political economy approach to secure climate justice </v>
      </c>
      <c r="F18" s="1" t="str">
        <f>IFERROR(__xludf.DUMMYFUNCTION("""COMPUTED_VALUE"""),"How can thefederal Justice40 policy framework tackle climate change and social inequalities at the same time and in the same places‘/ We adopta political economy approach. We situate environmental injustice in the context of long-standing racist patterns "&amp;"of public—primate investments in the United States, especially in housing, through practices such asredlining, transportation. and industrial development. We argue that any policy approach aiming toeliminate cnvironinental racism necds to take on public—p"&amp;"rivate investment patterns at comparable scale. And building on our recent research
into New York State's own efforts to build on the lessons of California’s experience of targeted green investments, and our survey of reports on the Justice40, we make fiv"&amp;"'e broad recommendations to federal policymakers: (l) w'eargue that the Justice40 mandate should apply toa farbroader range of public—private investments than currently planned (and thus allocate tens of billions of dollars annually); (2) we urge thefeder"&amp;"al government nottousetheCalifornia model ofa unilinear scale, and to adopt New York's proposal to count all low-income individuals as eligible for disproportionate investments in green home iinpi‘oveinents; (3) we recommend that the federal government (o"&amp;"rstate governments) take equity stakes in offshore w ind, with revenues being reinvested based on the Justice40 formula; (4) we argue that the federal government must fund community
groups' governance capacity so that they can exert meaningful control ove"&amp;"r local investments; and (5) we call for embedding Justice40 in an overarching framew'ork of green high-road economic
development.")</f>
        <v>How can thefederal Justice40 policy framework tackle climate change and social inequalities at the same time and in the same places‘/ We adopta political economy approach. We situate environmental injustice in the context of long-standing racist patterns of public—primate investments in the United States, especially in housing, through practices such asredlining, transportation. and industrial development. We argue that any policy approach aiming toeliminate cnvironinental racism necds to take on public—private investment patterns at comparable scale. And building on our recent research
into New York State's own efforts to build on the lessons of California’s experience of targeted green investments, and our survey of reports on the Justice40, we make fiv'e broad recommendations to federal policymakers: (l) w'eargue that the Justice40 mandate should apply toa farbroader range of public—private investments than currently planned (and thus allocate tens of billions of dollars annually); (2) we urge thefederal government nottousetheCalifornia model ofa unilinear scale, and to adopt New York's proposal to count all low-income individuals as eligible for disproportionate investments in green home iinpi‘oveinents; (3) we recommend that the federal government (orstate governments) take equity stakes in offshore w ind, with revenues being reinvested based on the Justice40 formula; (4) we argue that the federal government must fund community
groups' governance capacity so that they can exert meaningful control over local investments; and (5) we call for embedding Justice40 in an overarching framew'ork of green high-road economic
development.</v>
      </c>
      <c r="G18" s="1" t="str">
        <f>IFERROR(__xludf.DUMMYFUNCTION("""COMPUTED_VALUE"""),"Johnson WSU")</f>
        <v>Johnson WSU</v>
      </c>
      <c r="H18" s="1" t="str">
        <f>IFERROR(__xludf.DUMMYFUNCTION("""COMPUTED_VALUE"""),"1 (due   )")</f>
        <v>1 (due   )</v>
      </c>
      <c r="I18" s="6" t="str">
        <f>IFERROR(__xludf.DUMMYFUNCTION("""COMPUTED_VALUE"""),"https://drive.google.com/open?id=1kiLoUhljL7g55ZZDTYH1ZwXATw5ZZAb6")</f>
        <v>https://drive.google.com/open?id=1kiLoUhljL7g55ZZDTYH1ZwXATw5ZZAb6</v>
      </c>
    </row>
    <row r="19">
      <c r="A19" s="1" t="str">
        <f>IFERROR(__xludf.DUMMYFUNCTION("""COMPUTED_VALUE"""),"Donaghy, T., Healy, N., Jiang, C., Battle, C. (2023). Fossil fuel racism in the United States: How phasing out coal, oil, and gas can protect communities. Energy Research &amp; Social Science")</f>
        <v>Donaghy, T., Healy, N., Jiang, C., Battle, C. (2023). Fossil fuel racism in the United States: How phasing out coal, oil, and gas can protect communities. Energy Research &amp; Social Science</v>
      </c>
      <c r="B19" s="1" t="str">
        <f>IFERROR(__xludf.DUMMYFUNCTION("""COMPUTED_VALUE"""),"Timothy Donaghy: Greenpeace. Noel Healy: Department of Geography Salem State University. Charles Jiang: Yale Law. Colette Pichon Battle: Taproot Earth")</f>
        <v>Timothy Donaghy: Greenpeace. Noel Healy: Department of Geography Salem State University. Charles Jiang: Yale Law. Colette Pichon Battle: Taproot Earth</v>
      </c>
      <c r="C19" s="1" t="str">
        <f>IFERROR(__xludf.DUMMYFUNCTION("""COMPUTED_VALUE"""),"MIXED")</f>
        <v>MIXED</v>
      </c>
      <c r="D19" s="1" t="str">
        <f>IFERROR(__xludf.DUMMYFUNCTION("""COMPUTED_VALUE"""),"Environmental Justice ")</f>
        <v>Environmental Justice </v>
      </c>
      <c r="E19" s="1" t="str">
        <f>IFERROR(__xludf.DUMMYFUNCTION("""COMPUTED_VALUE"""),"systemic racism subsidizes the fossil fuel industry by enabling it to externalize the costs of pollution and environmental degradation onto communities of color")</f>
        <v>systemic racism subsidizes the fossil fuel industry by enabling it to externalize the costs of pollution and environmental degradation onto communities of color</v>
      </c>
      <c r="F19" s="1" t="str">
        <f>IFERROR(__xludf.DUMMYFUNCTION("""COMPUTED_VALUE"""),"Fossil fuels — coal, oil, and gas — lie at the heart of the interconnected crises we face, including climate change,
racial injustice, and public health. Each stage of the fossil fuel life cycle — extraction, processing, transport, and
combustion — genera"&amp;"tes toxic air and water pollution, as well as greenhouse gas (GHGs) emissions that drive the
global climate crisis. Addressing the harmful effects of energy decisions, including unequal risk distribution
across various governance levels, supply chains, an"&amp;"d political jurisdictions, is a complex task for policymakers
and society. A deeper understanding of how harms are embodied within fossil fuel life cycles is needed. This
paper provides a narrative review of recent studies within the United States (U.S.) "&amp;"that document both public
health harms and disproportionate impacts along the fossil fuel life cycle. In the U.S. the public health hazards
from air and water pollution, and risks associated with climate change, fall disproportionately on Black, Brown,
In"&amp;"digenous, and poor communities. “Sacrifice zones” and systemic racism are deeply intertwined within the
fossil-fuel based economy. We argue systemic racism subsidizes the fossil fuel industry by enabling it to externalize the costs of pollution and enviro"&amp;"nmental degradation onto communities of color. We position “fossil fuel
racism” as a subset of environmental racism and argue that this framing is useful because it shifts analytical and
political focus to the systems and structures which are actively pro"&amp;"tecting and promoting continued production of
fossil fuels. We discuss the implications of this body of research for climate policy, and outline how poorly
designed “carbon-centric” policies—which focus narrowly on GHGs reduction—could fail to alleviate t"&amp;"he racialized disparities or potentially worsen it for some communities. We emphasize the need to move beyond
carbon-centric approaches to climate solutions to more integrative approaches to policy design that can improve
public health, tackle the global "&amp;"climate crisis, and rectify our legacy of fossil fuel racism. Specifically we call for a
managed phase out of fossil fuel production and the enactment of wider programs of social, economic, and
democratic reforms via a Green New Deal. Adequately addressin"&amp;"g the climate crisis and fossil fuel racism require
political and policy solutions that disrupt the power and actions of the fossil fuel industry and their state allies")</f>
        <v>Fossil fuels — coal, oil, and gas — lie at the heart of the interconnected crises we face, including climate change,
racial injustice, and public health. Each stage of the fossil fuel life cycle — extraction, processing, transport, and
combustion — generates toxic air and water pollution, as well as greenhouse gas (GHGs) emissions that drive the
global climate crisis. Addressing the harmful effects of energy decisions, including unequal risk distribution
across various governance levels, supply chains, and political jurisdictions, is a complex task for policymakers
and society. A deeper understanding of how harms are embodied within fossil fuel life cycles is needed. This
paper provides a narrative review of recent studies within the United States (U.S.) that document both public
health harms and disproportionate impacts along the fossil fuel life cycle. In the U.S. the public health hazards
from air and water pollution, and risks associated with climate change, fall disproportionately on Black, Brown,
Indigenous, and poor communities. “Sacrifice zones” and systemic racism are deeply intertwined within the
fossil-fuel based economy. We argue systemic racism subsidizes the fossil fuel industry by enabling it to externalize the costs of pollution and environmental degradation onto communities of color. We position “fossil fuel
racism” as a subset of environmental racism and argue that this framing is useful because it shifts analytical and
political focus to the systems and structures which are actively protecting and promoting continued production of
fossil fuels. We discuss the implications of this body of research for climate policy, and outline how poorly
designed “carbon-centric” policies—which focus narrowly on GHGs reduction—could fail to alleviate the racialized disparities or potentially worsen it for some communities. We emphasize the need to move beyond
carbon-centric approaches to climate solutions to more integrative approaches to policy design that can improve
public health, tackle the global climate crisis, and rectify our legacy of fossil fuel racism. Specifically we call for a
managed phase out of fossil fuel production and the enactment of wider programs of social, economic, and
democratic reforms via a Green New Deal. Adequately addressing the climate crisis and fossil fuel racism require
political and policy solutions that disrupt the power and actions of the fossil fuel industry and their state allies</v>
      </c>
      <c r="G19" s="1" t="str">
        <f>IFERROR(__xludf.DUMMYFUNCTION("""COMPUTED_VALUE"""),"Johnson WSU")</f>
        <v>Johnson WSU</v>
      </c>
      <c r="H19" s="1" t="str">
        <f>IFERROR(__xludf.DUMMYFUNCTION("""COMPUTED_VALUE"""),"1 (due   )")</f>
        <v>1 (due   )</v>
      </c>
      <c r="I19" s="6" t="str">
        <f>IFERROR(__xludf.DUMMYFUNCTION("""COMPUTED_VALUE"""),"https://drive.google.com/open?id=1BhHL5YMjib4zroBrTlpmqZqtkwTgy4I_")</f>
        <v>https://drive.google.com/open?id=1BhHL5YMjib4zroBrTlpmqZqtkwTgy4I_</v>
      </c>
    </row>
    <row r="20">
      <c r="A20" s="1" t="str">
        <f>IFERROR(__xludf.DUMMYFUNCTION("""COMPUTED_VALUE"""),"Foster, J.B. (2024). The Dialectics of Ecology: Socialism and Nature. New York: Monthly Review Press. Print.  ISBN: 9781685900465.")</f>
        <v>Foster, J.B. (2024). The Dialectics of Ecology: Socialism and Nature. New York: Monthly Review Press. Print.  ISBN: 9781685900465.</v>
      </c>
      <c r="B20" s="1" t="str">
        <f>IFERROR(__xludf.DUMMYFUNCTION("""COMPUTED_VALUE"""),"John Bellamy Foster is editor of Monthly Review and professor of sociology at the University of Oregon. He has written widely on political economy and has established a reputation as a major environmental sociologist. He is the author of Marx’s Ecology: M"&amp;"aterialism and Nature (2000), The Great Financial Crisis: Causes and Consequences (with Fred Magdoff, 2009), The Ecological Rift: Capitalism’s War on the Earth (with Brett Clark and Richard York, 2010), and The Theory of Monopoly Capitalism: An Elaboratio"&amp;"n of Marxian Political Economy (New Edition, 2014), among many others.")</f>
        <v>John Bellamy Foster is editor of Monthly Review and professor of sociology at the University of Oregon. He has written widely on political economy and has established a reputation as a major environmental sociologist. He is the author of Marx’s Ecology: Materialism and Nature (2000), The Great Financial Crisis: Causes and Consequences (with Fred Magdoff, 2009), The Ecological Rift: Capitalism’s War on the Earth (with Brett Clark and Richard York, 2010), and The Theory of Monopoly Capitalism: An Elaboration of Marxian Political Economy (New Edition, 2014), among many others.</v>
      </c>
      <c r="C20" s="1" t="str">
        <f>IFERROR(__xludf.DUMMYFUNCTION("""COMPUTED_VALUE"""),"NEGATIVE")</f>
        <v>NEGATIVE</v>
      </c>
      <c r="D20" s="1" t="str">
        <f>IFERROR(__xludf.DUMMYFUNCTION("""COMPUTED_VALUE"""),"Marx K")</f>
        <v>Marx K</v>
      </c>
      <c r="E20" s="1" t="str">
        <f>IFERROR(__xludf.DUMMYFUNCTION("""COMPUTED_VALUE"""),"Interrogates Marxist critique of enlightenment humanism ")</f>
        <v>Interrogates Marxist critique of enlightenment humanism </v>
      </c>
      <c r="F20" s="1" t="str">
        <f>IFERROR(__xludf.DUMMYFUNCTION("""COMPUTED_VALUE"""),"Today the fate of the earth as a home for humanity is in question-and yet, contends John Bellamy Foster, the reunification of humanity and the earth remains possible if we are prepared to make revolutionary changes. As with his prior books, The Dialectics"&amp;" of Ecology is grounded in the contention that we are now faced with a concrete choice between ecological socialism and capitalist exterminism, and rooted in insights drawn from the classical historical materialist tradition. In this latest work, Foster e"&amp;"xplores the complex theoretical debates that have arisen historically with respect to the dialectics of nature and society. He then goes on to examine the current contradictions associated with the confrontation between capitalist extractivism and the fin"&amp;"ancialization of nature, on the one hand, and the radical challenges to these represented by emergent visions of ecological civilization and planned degrowth, on the other""--Provided by publisher.")</f>
        <v>Today the fate of the earth as a home for humanity is in question-and yet, contends John Bellamy Foster, the reunification of humanity and the earth remains possible if we are prepared to make revolutionary changes. As with his prior books, The Dialectics of Ecology is grounded in the contention that we are now faced with a concrete choice between ecological socialism and capitalist exterminism, and rooted in insights drawn from the classical historical materialist tradition. In this latest work, Foster explores the complex theoretical debates that have arisen historically with respect to the dialectics of nature and society. He then goes on to examine the current contradictions associated with the confrontation between capitalist extractivism and the financialization of nature, on the one hand, and the radical challenges to these represented by emergent visions of ecological civilization and planned degrowth, on the other"--Provided by publisher.</v>
      </c>
      <c r="G20" s="1" t="str">
        <f>IFERROR(__xludf.DUMMYFUNCTION("""COMPUTED_VALUE"""),"Schmitt UO")</f>
        <v>Schmitt UO</v>
      </c>
      <c r="H20" s="1" t="str">
        <f>IFERROR(__xludf.DUMMYFUNCTION("""COMPUTED_VALUE"""),"1 (due   )")</f>
        <v>1 (due   )</v>
      </c>
      <c r="I20" s="6" t="str">
        <f>IFERROR(__xludf.DUMMYFUNCTION("""COMPUTED_VALUE"""),"https://drive.google.com/open?id=18Gtb2Ak6LetQtpZfiJXVioqHZ0Z_QSEE")</f>
        <v>https://drive.google.com/open?id=18Gtb2Ak6LetQtpZfiJXVioqHZ0Z_QSEE</v>
      </c>
    </row>
    <row r="21">
      <c r="A21" s="1" t="str">
        <f>IFERROR(__xludf.DUMMYFUNCTION("""COMPUTED_VALUE"""),"Chambers, C. L., (2021). A critique of the “socio‐ecological fix” and towards revolutionary rupture. Area, 53(1), 114–121. https://doi.org/10.1111/area.12668")</f>
        <v>Chambers, C. L., (2021). A critique of the “socio‐ecological fix” and towards revolutionary rupture. Area, 53(1), 114–121. https://doi.org/10.1111/area.12668</v>
      </c>
      <c r="B21" s="1" t="str">
        <f>IFERROR(__xludf.DUMMYFUNCTION("""COMPUTED_VALUE"""),"Graduate Student, Department of Geography and the Environment, Syracuse University")</f>
        <v>Graduate Student, Department of Geography and the Environment, Syracuse University</v>
      </c>
      <c r="C21" s="1" t="str">
        <f>IFERROR(__xludf.DUMMYFUNCTION("""COMPUTED_VALUE"""),"NEGATIVE")</f>
        <v>NEGATIVE</v>
      </c>
      <c r="D21" s="1" t="str">
        <f>IFERROR(__xludf.DUMMYFUNCTION("""COMPUTED_VALUE"""),"Orthodox Marxism K")</f>
        <v>Orthodox Marxism K</v>
      </c>
      <c r="E21" s="1" t="str">
        <f>IFERROR(__xludf.DUMMYFUNCTION("""COMPUTED_VALUE"""),"Emphasis on fixing the socio-ecological crisis under capitalism (up to and including the GND) fail to account for the severity of the crisis in the 21st century. There is only one solution: revolution")</f>
        <v>Emphasis on fixing the socio-ecological crisis under capitalism (up to and including the GND) fail to account for the severity of the crisis in the 21st century. There is only one solution: revolution</v>
      </c>
      <c r="F21" s="1" t="str">
        <f>IFERROR(__xludf.DUMMYFUNCTION("""COMPUTED_VALUE"""),"The “socio‐ecological fix” has become increasingly popular to understand a possi- ble and future energy transition off fossil fuels within the confines of capitalist social relations of production. The concept emerges and builds off David Har- vey’s famou"&amp;"s “spatial fix” concept to understand how capitalism can temporarily transcend the current climate crisis. The “socio‐ecological fix” helps see how cap- italist crises and fixes are economic and environmental at the same time, inter- twined together. Thro"&amp;"ugh a review of the literature that develops the “socio‐ ecological fix” concept, I make two clear arguments. First, I argue that the con- cept is trapped in a specific historical understanding of 20th‐century capitalism that goes through crisis and fixes"&amp;". According to this framework, from which the “socio‐ecological fix” functions within, the capitalist mode of production is here to stay indefinitely and can only be reformed through series of fixes. This under- standing of capitalism not only downplays c"&amp;"lass struggle but also has too much of a narrow sense of politics in the context of the ongoing climate crisis. Second, I argue that this understanding of history largely ignores the potential for revolu- tionary ruptures that create social systems entire"&amp;"ly at odds with capital. The sever- ity of the climate crisis suggests that moving further into the 21st century will not allow such clean fixes. The climate crisis will make revolutionary ruptures not only possible, but inevitable.")</f>
        <v>The “socio‐ecological fix” has become increasingly popular to understand a possi- ble and future energy transition off fossil fuels within the confines of capitalist social relations of production. The concept emerges and builds off David Har- vey’s famous “spatial fix” concept to understand how capitalism can temporarily transcend the current climate crisis. The “socio‐ecological fix” helps see how cap- italist crises and fixes are economic and environmental at the same time, inter- twined together. Through a review of the literature that develops the “socio‐ ecological fix” concept, I make two clear arguments. First, I argue that the con- cept is trapped in a specific historical understanding of 20th‐century capitalism that goes through crisis and fixes. According to this framework, from which the “socio‐ecological fix” functions within, the capitalist mode of production is here to stay indefinitely and can only be reformed through series of fixes. This under- standing of capitalism not only downplays class struggle but also has too much of a narrow sense of politics in the context of the ongoing climate crisis. Second, I argue that this understanding of history largely ignores the potential for revolu- tionary ruptures that create social systems entirely at odds with capital. The sever- ity of the climate crisis suggests that moving further into the 21st century will not allow such clean fixes. The climate crisis will make revolutionary ruptures not only possible, but inevitable.</v>
      </c>
      <c r="G21" s="1" t="str">
        <f>IFERROR(__xludf.DUMMYFUNCTION("""COMPUTED_VALUE"""),"Henman WWU")</f>
        <v>Henman WWU</v>
      </c>
      <c r="H21" s="1" t="str">
        <f>IFERROR(__xludf.DUMMYFUNCTION("""COMPUTED_VALUE"""),"1 (due   )")</f>
        <v>1 (due   )</v>
      </c>
      <c r="I21" s="6" t="str">
        <f>IFERROR(__xludf.DUMMYFUNCTION("""COMPUTED_VALUE"""),"https://drive.google.com/open?id=1DVn6mAdj2cLN2gQ54dbqiJPLYQfLlPOk")</f>
        <v>https://drive.google.com/open?id=1DVn6mAdj2cLN2gQ54dbqiJPLYQfLlPOk</v>
      </c>
    </row>
    <row r="22">
      <c r="A22" s="1" t="str">
        <f>IFERROR(__xludf.DUMMYFUNCTION("""COMPUTED_VALUE"""),"Liodakis, G. (2023). Transcending socio-ecological crisis by means of the state or revolution? Capitalism Nature Socialism, 34(4), 58-77. https://doi.org/10.1080/10455752.2023.2172597")</f>
        <v>Liodakis, G. (2023). Transcending socio-ecological crisis by means of the state or revolution? Capitalism Nature Socialism, 34(4), 58-77. https://doi.org/10.1080/10455752.2023.2172597</v>
      </c>
      <c r="B22" s="1" t="str">
        <f>IFERROR(__xludf.DUMMYFUNCTION("""COMPUTED_VALUE"""),"retired professor of Political Economy, who taught for many years at the Technical University of Crete, Greece.")</f>
        <v>retired professor of Political Economy, who taught for many years at the Technical University of Crete, Greece.</v>
      </c>
      <c r="C22" s="1" t="str">
        <f>IFERROR(__xludf.DUMMYFUNCTION("""COMPUTED_VALUE"""),"NEGATIVE")</f>
        <v>NEGATIVE</v>
      </c>
      <c r="D22" s="1" t="str">
        <f>IFERROR(__xludf.DUMMYFUNCTION("""COMPUTED_VALUE"""),"Orthodox Marxism K")</f>
        <v>Orthodox Marxism K</v>
      </c>
      <c r="E22" s="1" t="str">
        <f>IFERROR(__xludf.DUMMYFUNCTION("""COMPUTED_VALUE"""),"The idea of using the bourgeois state to solve climate change is revisionist; a successful revolution requires smashing and replacing the ready-made state machinery with democratic workers government.")</f>
        <v>The idea of using the bourgeois state to solve climate change is revisionist; a successful revolution requires smashing and replacing the ready-made state machinery with democratic workers government.</v>
      </c>
      <c r="F22" s="1" t="str">
        <f>IFERROR(__xludf.DUMMYFUNCTION("""COMPUTED_VALUE"""),"The exacerbated socio-ecological crisis, including the devastating COVID-19 pandemic during the last few years, has given rise to a variety of interpretations and strategies to face this crisis. Some researchers have suggested that the state is the single"&amp;" most effective agent capable of mobilizing the amount of resources and the policies required to overcome a crisis of such a broad scope and devastating impact. This paper analyzes the causes of the multifaceted and deepening socio-ecological crisis to sh"&amp;"ow that the root cause behind this crisis is the capitalist mode of production itself. Subsequently, I interrogate those approaches proposing the state as a strategic mechanism to combat and overcome the crisis. It is outlined that the class-based (non-ne"&amp;"utral) character of the state will tend to reproduce the prevailing capitalist relations of production, namely the basic conditions for the generation and exacerbation of this crisis. As is finally suggested, it is only with a revolutionary transformation"&amp;" of society that the working social majority will be able to radically undo the fundamental causes of the crisis and create the conditions for a peaceful and sustainable development on a planetary level.")</f>
        <v>The exacerbated socio-ecological crisis, including the devastating COVID-19 pandemic during the last few years, has given rise to a variety of interpretations and strategies to face this crisis. Some researchers have suggested that the state is the single most effective agent capable of mobilizing the amount of resources and the policies required to overcome a crisis of such a broad scope and devastating impact. This paper analyzes the causes of the multifaceted and deepening socio-ecological crisis to show that the root cause behind this crisis is the capitalist mode of production itself. Subsequently, I interrogate those approaches proposing the state as a strategic mechanism to combat and overcome the crisis. It is outlined that the class-based (non-neutral) character of the state will tend to reproduce the prevailing capitalist relations of production, namely the basic conditions for the generation and exacerbation of this crisis. As is finally suggested, it is only with a revolutionary transformation of society that the working social majority will be able to radically undo the fundamental causes of the crisis and create the conditions for a peaceful and sustainable development on a planetary level.</v>
      </c>
      <c r="G22" s="1" t="str">
        <f>IFERROR(__xludf.DUMMYFUNCTION("""COMPUTED_VALUE"""),"Henman WWU")</f>
        <v>Henman WWU</v>
      </c>
      <c r="H22" s="1" t="str">
        <f>IFERROR(__xludf.DUMMYFUNCTION("""COMPUTED_VALUE"""),"1 (due   )")</f>
        <v>1 (due   )</v>
      </c>
      <c r="I22" s="6" t="str">
        <f>IFERROR(__xludf.DUMMYFUNCTION("""COMPUTED_VALUE"""),"https://drive.google.com/open?id=1cilI93zbffDfyHhHTCtxKnioSmIst-JM")</f>
        <v>https://drive.google.com/open?id=1cilI93zbffDfyHhHTCtxKnioSmIst-JM</v>
      </c>
    </row>
    <row r="23">
      <c r="A23" s="1" t="str">
        <f>IFERROR(__xludf.DUMMYFUNCTION("""COMPUTED_VALUE"""),"Chambers, C. L., (2022). Afterword: Towards an ecopedagogy of revolutionary optimism in the age of climate crisis. In P. Jandrić, D. R. Ford (Eds.), Postdigital Ecopedagogies (pp. 281-285). Springer. https://doi.org/10.1007/978-3-030-97262-2")</f>
        <v>Chambers, C. L., (2022). Afterword: Towards an ecopedagogy of revolutionary optimism in the age of climate crisis. In P. Jandrić, D. R. Ford (Eds.), Postdigital Ecopedagogies (pp. 281-285). Springer. https://doi.org/10.1007/978-3-030-97262-2</v>
      </c>
      <c r="B23" s="1" t="str">
        <f>IFERROR(__xludf.DUMMYFUNCTION("""COMPUTED_VALUE"""),"Graduate Student, Department of Geography and the Environment, Syracuse University")</f>
        <v>Graduate Student, Department of Geography and the Environment, Syracuse University</v>
      </c>
      <c r="C23" s="1" t="str">
        <f>IFERROR(__xludf.DUMMYFUNCTION("""COMPUTED_VALUE"""),"NEGATIVE")</f>
        <v>NEGATIVE</v>
      </c>
      <c r="D23" s="1" t="str">
        <f>IFERROR(__xludf.DUMMYFUNCTION("""COMPUTED_VALUE"""),"Orthodox Marxism K")</f>
        <v>Orthodox Marxism K</v>
      </c>
      <c r="E23" s="1" t="str">
        <f>IFERROR(__xludf.DUMMYFUNCTION("""COMPUTED_VALUE"""),"Instead of rehashing tired disempowering mantras of individualism and reformism, climate educators should embrace a historical materialist pedagogy and foster revolutionary optimism.")</f>
        <v>Instead of rehashing tired disempowering mantras of individualism and reformism, climate educators should embrace a historical materialist pedagogy and foster revolutionary optimism.</v>
      </c>
      <c r="F23" s="1"/>
      <c r="G23" s="1" t="str">
        <f>IFERROR(__xludf.DUMMYFUNCTION("""COMPUTED_VALUE"""),"Henman WWU")</f>
        <v>Henman WWU</v>
      </c>
      <c r="H23" s="1" t="str">
        <f>IFERROR(__xludf.DUMMYFUNCTION("""COMPUTED_VALUE"""),"1 (due   )")</f>
        <v>1 (due   )</v>
      </c>
      <c r="I23" s="6" t="str">
        <f>IFERROR(__xludf.DUMMYFUNCTION("""COMPUTED_VALUE"""),"https://drive.google.com/open?id=1De0fPzsbVyDJC5h3i6w8GAlec7zMoAgs")</f>
        <v>https://drive.google.com/open?id=1De0fPzsbVyDJC5h3i6w8GAlec7zMoAgs</v>
      </c>
    </row>
    <row r="24">
      <c r="A24" s="1" t="str">
        <f>IFERROR(__xludf.DUMMYFUNCTION("""COMPUTED_VALUE"""),"Lenferna, A., (2020). Fossil ruel welfare versus the climate. In G. Wood &amp; K. Baker (Eds.), The Palgrave handbook of managing fossil fuels and energy transitions (pp. 551-567). Palgrave Macmillan Cham. https://doi.org/10.1007/978-3-030-28076-5")</f>
        <v>Lenferna, A., (2020). Fossil ruel welfare versus the climate. In G. Wood &amp; K. Baker (Eds.), The Palgrave handbook of managing fossil fuels and energy transitions (pp. 551-567). Palgrave Macmillan Cham. https://doi.org/10.1007/978-3-030-28076-5</v>
      </c>
      <c r="B24" s="1" t="str">
        <f>IFERROR(__xludf.DUMMYFUNCTION("""COMPUTED_VALUE"""),"post-doctoral research fellow at Nelson Mandela University in the Department of Development Studies ")</f>
        <v>post-doctoral research fellow at Nelson Mandela University in the Department of Development Studies </v>
      </c>
      <c r="C24" s="1" t="str">
        <f>IFERROR(__xludf.DUMMYFUNCTION("""COMPUTED_VALUE"""),"AFFIRMATIVE")</f>
        <v>AFFIRMATIVE</v>
      </c>
      <c r="D24" s="1" t="str">
        <f>IFERROR(__xludf.DUMMYFUNCTION("""COMPUTED_VALUE"""),"Orthodox Marxism K")</f>
        <v>Orthodox Marxism K</v>
      </c>
      <c r="E24" s="1" t="str">
        <f>IFERROR(__xludf.DUMMYFUNCTION("""COMPUTED_VALUE"""),"Capitalism itself is not the cause of climate crisis, advocates of the free market can be won over to abolishing fossil fuel welfare. This is more realistically done by policy than socialism.")</f>
        <v>Capitalism itself is not the cause of climate crisis, advocates of the free market can be won over to abolishing fossil fuel welfare. This is more realistically done by policy than socialism.</v>
      </c>
      <c r="F24" s="1"/>
      <c r="G24" s="1" t="str">
        <f>IFERROR(__xludf.DUMMYFUNCTION("""COMPUTED_VALUE"""),"Henman WWU")</f>
        <v>Henman WWU</v>
      </c>
      <c r="H24" s="1" t="str">
        <f>IFERROR(__xludf.DUMMYFUNCTION("""COMPUTED_VALUE"""),"1 (due   )")</f>
        <v>1 (due   )</v>
      </c>
      <c r="I24" s="6" t="str">
        <f>IFERROR(__xludf.DUMMYFUNCTION("""COMPUTED_VALUE"""),"https://drive.google.com/open?id=1KLcDWbeT4v8goQTqpwbd_4Ji0zSWQhuU")</f>
        <v>https://drive.google.com/open?id=1KLcDWbeT4v8goQTqpwbd_4Ji0zSWQhuU</v>
      </c>
    </row>
    <row r="25">
      <c r="A25" s="1" t="str">
        <f>IFERROR(__xludf.DUMMYFUNCTION("""COMPUTED_VALUE"""),"van den Bergh, J. C. J. M., &amp; Botzen, W. W. J., (2024). Assessing criticisms of carbon pricing. International Review of Environmental and Resource Economics, 18(3), 315-384. http://dx.doi.org/10.1561/101.00000172")</f>
        <v>van den Bergh, J. C. J. M., &amp; Botzen, W. W. J., (2024). Assessing criticisms of carbon pricing. International Review of Environmental and Resource Economics, 18(3), 315-384. http://dx.doi.org/10.1561/101.00000172</v>
      </c>
      <c r="B25" s="1" t="str">
        <f>IFERROR(__xludf.DUMMYFUNCTION("""COMPUTED_VALUE"""),"ICREA Research Professor in the Institute of Environmental Science &amp; Technology, Universitat Autònoma de Barcelona; director of the Institute for Environmental Studies (IVM), Vrije Universiteit (VU), Amsterdam;")</f>
        <v>ICREA Research Professor in the Institute of Environmental Science &amp; Technology, Universitat Autònoma de Barcelona; director of the Institute for Environmental Studies (IVM), Vrije Universiteit (VU), Amsterdam;</v>
      </c>
      <c r="C25" s="1" t="str">
        <f>IFERROR(__xludf.DUMMYFUNCTION("""COMPUTED_VALUE"""),"AFFIRMATIVE")</f>
        <v>AFFIRMATIVE</v>
      </c>
      <c r="D25" s="1" t="str">
        <f>IFERROR(__xludf.DUMMYFUNCTION("""COMPUTED_VALUE"""),"Orthodox Marxism K")</f>
        <v>Orthodox Marxism K</v>
      </c>
      <c r="E25" s="1" t="str">
        <f>IFERROR(__xludf.DUMMYFUNCTION("""COMPUTED_VALUE"""),"Answers link arguments to carbon tax and emissions trading schemes, taking into account the Marxist critique.")</f>
        <v>Answers link arguments to carbon tax and emissions trading schemes, taking into account the Marxist critique.</v>
      </c>
      <c r="F25" s="1" t="str">
        <f>IFERROR(__xludf.DUMMYFUNCTION("""COMPUTED_VALUE"""),"There is still considerable resistance against carbon pricing — i.e. carbon taxation or cap-and-trade — in the social and policy sciences. We review its main arguments and con- clude that they are not supported by the theoretical and empirical literature "&amp;"on instrument performance. Critics are also unable to offer alternative and feasible instruments that limit free riding in climate solutions and perform better on main evaluation criteria, namely effectiveness, efficiency, equity, and global-harmonization"&amp;" potential. Their argument that carbon pricing meets strong political resistance is coun- tered by its widespread implementation already and by its ability to compensate inequitable impacts. We argue that overcoming unsubstantiated criticism on carbon pri"&amp;"cing will lead to more consistent advice from policy experts to politi- cians, thus improving the feasibility of, and accelerating progress towards, globally harmonized and stringent climate policy. All in all, it might be more widely acknowledged that th"&amp;"e remarkable feature of carbon pricing is that, if well implemented, it has a great number of advantages and few disadvantages. Rather than weakening political support by criticizing carbon pricing, critics would contribute more productively to effective "&amp;"global climate policy by defending proper and uniform implementation of it.")</f>
        <v>There is still considerable resistance against carbon pricing — i.e. carbon taxation or cap-and-trade — in the social and policy sciences. We review its main arguments and con- clude that they are not supported by the theoretical and empirical literature on instrument performance. Critics are also unable to offer alternative and feasible instruments that limit free riding in climate solutions and perform better on main evaluation criteria, namely effectiveness, efficiency, equity, and global-harmonization potential. Their argument that carbon pricing meets strong political resistance is coun- tered by its widespread implementation already and by its ability to compensate inequitable impacts. We argue that overcoming unsubstantiated criticism on carbon pricing will lead to more consistent advice from policy experts to politi- cians, thus improving the feasibility of, and accelerating progress towards, globally harmonized and stringent climate policy. All in all, it might be more widely acknowledged that the remarkable feature of carbon pricing is that, if well implemented, it has a great number of advantages and few disadvantages. Rather than weakening political support by criticizing carbon pricing, critics would contribute more productively to effective global climate policy by defending proper and uniform implementation of it.</v>
      </c>
      <c r="G25" s="1" t="str">
        <f>IFERROR(__xludf.DUMMYFUNCTION("""COMPUTED_VALUE"""),"WWU Henman")</f>
        <v>WWU Henman</v>
      </c>
      <c r="H25" s="1" t="str">
        <f>IFERROR(__xludf.DUMMYFUNCTION("""COMPUTED_VALUE"""),"1 (due   )")</f>
        <v>1 (due   )</v>
      </c>
      <c r="I25" s="6" t="str">
        <f>IFERROR(__xludf.DUMMYFUNCTION("""COMPUTED_VALUE"""),"https://drive.google.com/open?id=13m4LMknLDrIkz-Psft92ewlI0_okL1UN")</f>
        <v>https://drive.google.com/open?id=13m4LMknLDrIkz-Psft92ewlI0_okL1UN</v>
      </c>
    </row>
    <row r="26">
      <c r="A26" s="1" t="str">
        <f>IFERROR(__xludf.DUMMYFUNCTION("""COMPUTED_VALUE"""),"Hersher ‘22. “Climate Change is Killing People, but there is Still Time to Reverse Damage.” NPR. https://www.npr.org/2022/02/28/1082564304/billions-of-people-are-in-danger-from-climate-change-u-n-report-warns")</f>
        <v>Hersher ‘22. “Climate Change is Killing People, but there is Still Time to Reverse Damage.” NPR. https://www.npr.org/2022/02/28/1082564304/billions-of-people-are-in-danger-from-climate-change-u-n-report-warns</v>
      </c>
      <c r="B26" s="1" t="str">
        <f>IFERROR(__xludf.DUMMYFUNCTION("""COMPUTED_VALUE"""),"Rebecca, a reporter at NPRs Climate Desk, where she reports on climate science, weather disasters and infrastructure")</f>
        <v>Rebecca, a reporter at NPRs Climate Desk, where she reports on climate science, weather disasters and infrastructure</v>
      </c>
      <c r="C26" s="1" t="str">
        <f>IFERROR(__xludf.DUMMYFUNCTION("""COMPUTED_VALUE"""),"AFFIRMATIVE")</f>
        <v>AFFIRMATIVE</v>
      </c>
      <c r="D26" s="1" t="str">
        <f>IFERROR(__xludf.DUMMYFUNCTION("""COMPUTED_VALUE"""),"Remove Fossil Fuel Subsidies")</f>
        <v>Remove Fossil Fuel Subsidies</v>
      </c>
      <c r="E26" s="1" t="str">
        <f>IFERROR(__xludf.DUMMYFUNCTION("""COMPUTED_VALUE"""),"Billions of people globally are already suffering due to climate change, which is causing extreme weather events particularly harming vulnerable communities, including the poor and Indigenous peoples.")</f>
        <v>Billions of people globally are already suffering due to climate change, which is causing extreme weather events particularly harming vulnerable communities, including the poor and Indigenous peoples.</v>
      </c>
      <c r="F26" s="1"/>
      <c r="G26" s="1" t="str">
        <f>IFERROR(__xludf.DUMMYFUNCTION("""COMPUTED_VALUE"""),"N/A")</f>
        <v>N/A</v>
      </c>
      <c r="H26" s="1" t="str">
        <f>IFERROR(__xludf.DUMMYFUNCTION("""COMPUTED_VALUE"""),"1 (due   )")</f>
        <v>1 (due   )</v>
      </c>
      <c r="I26" s="6" t="str">
        <f>IFERROR(__xludf.DUMMYFUNCTION("""COMPUTED_VALUE"""),"https://drive.google.com/open?id=1y363lKD5p25fvcBxoKDcxPAtwnTv8JYE")</f>
        <v>https://drive.google.com/open?id=1y363lKD5p25fvcBxoKDcxPAtwnTv8JYE</v>
      </c>
    </row>
    <row r="27">
      <c r="A27" s="1" t="str">
        <f>IFERROR(__xludf.DUMMYFUNCTION("""COMPUTED_VALUE"""),"Thallinger and Subram ‘24 “Fossil Fuel Subsidies Harm Planet, the Poor.” The Asset. https://www.theasset.com/article-esg/51033/fossil-fuel-subsidies-harm-planet-the-poor")</f>
        <v>Thallinger and Subram ‘24 “Fossil Fuel Subsidies Harm Planet, the Poor.” The Asset. https://www.theasset.com/article-esg/51033/fossil-fuel-subsidies-harm-planet-the-poor</v>
      </c>
      <c r="B27" s="1" t="str">
        <f>IFERROR(__xludf.DUMMYFUNCTION("""COMPUTED_VALUE"""),"Günther, is a member of the board of management of Allianz SE with responsibity for investment management and sustainability, and Ludovic Subran is the chief economist at Allianz.")</f>
        <v>Günther, is a member of the board of management of Allianz SE with responsibity for investment management and sustainability, and Ludovic Subran is the chief economist at Allianz.</v>
      </c>
      <c r="C27" s="1" t="str">
        <f>IFERROR(__xludf.DUMMYFUNCTION("""COMPUTED_VALUE"""),"AFFIRMATIVE")</f>
        <v>AFFIRMATIVE</v>
      </c>
      <c r="D27" s="1" t="str">
        <f>IFERROR(__xludf.DUMMYFUNCTION("""COMPUTED_VALUE"""),"Remove Fossil Fuel Subsidies")</f>
        <v>Remove Fossil Fuel Subsidies</v>
      </c>
      <c r="E27" s="1" t="str">
        <f>IFERROR(__xludf.DUMMYFUNCTION("""COMPUTED_VALUE"""),"Inherency-Fossil Fuels subsidies in the US drastically increase emissions, and makes climate mitigation impossible")</f>
        <v>Inherency-Fossil Fuels subsidies in the US drastically increase emissions, and makes climate mitigation impossible</v>
      </c>
      <c r="F27" s="1"/>
      <c r="G27" s="1" t="str">
        <f>IFERROR(__xludf.DUMMYFUNCTION("""COMPUTED_VALUE"""),"Moreno Gonzaga ")</f>
        <v>Moreno Gonzaga </v>
      </c>
      <c r="H27" s="1" t="str">
        <f>IFERROR(__xludf.DUMMYFUNCTION("""COMPUTED_VALUE"""),"1 (due   )")</f>
        <v>1 (due   )</v>
      </c>
      <c r="I27" s="6" t="str">
        <f>IFERROR(__xludf.DUMMYFUNCTION("""COMPUTED_VALUE"""),"https://drive.google.com/open?id=1vwfFNzJEgF63u_3uGUpdnCD3SvnZ9TG6")</f>
        <v>https://drive.google.com/open?id=1vwfFNzJEgF63u_3uGUpdnCD3SvnZ9TG6</v>
      </c>
    </row>
    <row r="28">
      <c r="A28" s="1" t="str">
        <f>IFERROR(__xludf.DUMMYFUNCTION("""COMPUTED_VALUE"""),"Eco Business ‘23 [“How fossil fuel subsidies are hurting the energy transition”, https://www.eco-business.com/news/how-fossil-fuel-subsidies-are-hurting-the-energy-transition/]")</f>
        <v>Eco Business ‘23 [“How fossil fuel subsidies are hurting the energy transition”, https://www.eco-business.com/news/how-fossil-fuel-subsidies-are-hurting-the-energy-transition/]</v>
      </c>
      <c r="B28" s="1" t="str">
        <f>IFERROR(__xludf.DUMMYFUNCTION("""COMPUTED_VALUE"""),"N/A")</f>
        <v>N/A</v>
      </c>
      <c r="C28" s="1" t="str">
        <f>IFERROR(__xludf.DUMMYFUNCTION("""COMPUTED_VALUE"""),"AFFIRMATIVE")</f>
        <v>AFFIRMATIVE</v>
      </c>
      <c r="D28" s="1" t="str">
        <f>IFERROR(__xludf.DUMMYFUNCTION("""COMPUTED_VALUE"""),"Remove Fossil Fuel Subsidies")</f>
        <v>Remove Fossil Fuel Subsidies</v>
      </c>
      <c r="E28" s="1" t="str">
        <f>IFERROR(__xludf.DUMMYFUNCTION("""COMPUTED_VALUE"""),"Solvency - Ending fossil fuel subsidies forces companies to shift away from carbon intensive energy, enabling a green transition to renewables.")</f>
        <v>Solvency - Ending fossil fuel subsidies forces companies to shift away from carbon intensive energy, enabling a green transition to renewables.</v>
      </c>
      <c r="F28" s="1" t="str">
        <f>IFERROR(__xludf.DUMMYFUNCTION("""COMPUTED_VALUE"""),"None ")</f>
        <v>None </v>
      </c>
      <c r="G28" s="1" t="str">
        <f>IFERROR(__xludf.DUMMYFUNCTION("""COMPUTED_VALUE"""),"Moreno, Gonzaga  --- I also just realized what this line actually meant, any document submitted with andream060403 is Moreno Gonzaga - sorry about that there are probably four or five submissions with nothing on there or the editor contributor..,")</f>
        <v>Moreno, Gonzaga  --- I also just realized what this line actually meant, any document submitted with andream060403 is Moreno Gonzaga - sorry about that there are probably four or five submissions with nothing on there or the editor contributor..,</v>
      </c>
      <c r="H28" s="1" t="str">
        <f>IFERROR(__xludf.DUMMYFUNCTION("""COMPUTED_VALUE"""),"1 (due   )")</f>
        <v>1 (due   )</v>
      </c>
      <c r="I28" s="6" t="str">
        <f>IFERROR(__xludf.DUMMYFUNCTION("""COMPUTED_VALUE"""),"https://drive.google.com/open?id=1JNgnX1KCw5SfJv9mzo7RYkZy0-UDfplv")</f>
        <v>https://drive.google.com/open?id=1JNgnX1KCw5SfJv9mzo7RYkZy0-UDfplv</v>
      </c>
    </row>
    <row r="29">
      <c r="A29" s="1" t="str">
        <f>IFERROR(__xludf.DUMMYFUNCTION("""COMPUTED_VALUE"""),"Brady, 21. “Fossil fuel subsidies are proving harder to end than first thought.” NPR. https://www.npr.org/2021/12/14/1064011237/fossil-fuel-subsidies-are-proving-harder-to-end-than-first-thought.] ")</f>
        <v>Brady, 21. “Fossil fuel subsidies are proving harder to end than first thought.” NPR. https://www.npr.org/2021/12/14/1064011237/fossil-fuel-subsidies-are-proving-harder-to-end-than-first-thought.] </v>
      </c>
      <c r="B29" s="1" t="str">
        <f>IFERROR(__xludf.DUMMYFUNCTION("""COMPUTED_VALUE"""),"Jeff is the Climate and Energy Correspondent on NPR’s Climate Desk.")</f>
        <v>Jeff is the Climate and Energy Correspondent on NPR’s Climate Desk.</v>
      </c>
      <c r="C29" s="1" t="str">
        <f>IFERROR(__xludf.DUMMYFUNCTION("""COMPUTED_VALUE"""),"NEGATIVE")</f>
        <v>NEGATIVE</v>
      </c>
      <c r="D29" s="1" t="str">
        <f>IFERROR(__xludf.DUMMYFUNCTION("""COMPUTED_VALUE"""),"Remove Fossil Fuel Subsidies")</f>
        <v>Remove Fossil Fuel Subsidies</v>
      </c>
      <c r="E29" s="1" t="str">
        <f>IFERROR(__xludf.DUMMYFUNCTION("""COMPUTED_VALUE"""),"This would be an industries and companies circumvention card to removing fossil fuel subsidies. ")</f>
        <v>This would be an industries and companies circumvention card to removing fossil fuel subsidies. </v>
      </c>
      <c r="F29" s="1"/>
      <c r="G29" s="1" t="str">
        <f>IFERROR(__xludf.DUMMYFUNCTION("""COMPUTED_VALUE"""),"Moreno Gonzaga")</f>
        <v>Moreno Gonzaga</v>
      </c>
      <c r="H29" s="1" t="str">
        <f>IFERROR(__xludf.DUMMYFUNCTION("""COMPUTED_VALUE"""),"1 (due   )")</f>
        <v>1 (due   )</v>
      </c>
      <c r="I29" s="6" t="str">
        <f>IFERROR(__xludf.DUMMYFUNCTION("""COMPUTED_VALUE"""),"https://drive.google.com/open?id=1lsRI-VsV4ia6Znpx9gd6DjWVjY90MPfQ")</f>
        <v>https://drive.google.com/open?id=1lsRI-VsV4ia6Znpx9gd6DjWVjY90MPfQ</v>
      </c>
    </row>
    <row r="30">
      <c r="A30" s="1" t="str">
        <f>IFERROR(__xludf.DUMMYFUNCTION("""COMPUTED_VALUE"""),"Karlsson and Zimmer ’20 “Green Energy’s Dirty Side Effects.” Foreign Policy. https://foreignpolicy.com/2020/06/18/green-energy-dirty-side-effects-renewable-transition-climate-change-cobalt-mining-human-rights-inequality/.] ")</f>
        <v>Karlsson and Zimmer ’20 “Green Energy’s Dirty Side Effects.” Foreign Policy. https://foreignpolicy.com/2020/06/18/green-energy-dirty-side-effects-renewable-transition-climate-change-cobalt-mining-human-rights-inequality/.] </v>
      </c>
      <c r="B30" s="1" t="str">
        <f>IFERROR(__xludf.DUMMYFUNCTION("""COMPUTED_VALUE"""),"Carl-Johan, is a Swedish freelance journalist based in Paris. Katarina is a freelance science and environmental journalist. ")</f>
        <v>Carl-Johan, is a Swedish freelance journalist based in Paris. Katarina is a freelance science and environmental journalist. </v>
      </c>
      <c r="C30" s="1" t="str">
        <f>IFERROR(__xludf.DUMMYFUNCTION("""COMPUTED_VALUE"""),"NEGATIVE")</f>
        <v>NEGATIVE</v>
      </c>
      <c r="D30" s="1" t="str">
        <f>IFERROR(__xludf.DUMMYFUNCTION("""COMPUTED_VALUE"""),"Remove Fossil Fuel Subsidies")</f>
        <v>Remove Fossil Fuel Subsidies</v>
      </c>
      <c r="E30" s="1" t="str">
        <f>IFERROR(__xludf.DUMMYFUNCTION("""COMPUTED_VALUE"""),"This article functions as a impact turn to removing ff subsidies is good for marginalized groups: Transitioning away from fossil fuels is bad for the global south")</f>
        <v>This article functions as a impact turn to removing ff subsidies is good for marginalized groups: Transitioning away from fossil fuels is bad for the global south</v>
      </c>
      <c r="F30" s="1"/>
      <c r="G30" s="1" t="str">
        <f>IFERROR(__xludf.DUMMYFUNCTION("""COMPUTED_VALUE"""),"Moreno Gonzaga")</f>
        <v>Moreno Gonzaga</v>
      </c>
      <c r="H30" s="1" t="str">
        <f>IFERROR(__xludf.DUMMYFUNCTION("""COMPUTED_VALUE"""),"1 (due   )")</f>
        <v>1 (due   )</v>
      </c>
      <c r="I30" s="6" t="str">
        <f>IFERROR(__xludf.DUMMYFUNCTION("""COMPUTED_VALUE"""),"https://drive.google.com/open?id=165fWzTgWt_0p3VHrns3YQb9itQrkbhhd")</f>
        <v>https://drive.google.com/open?id=165fWzTgWt_0p3VHrns3YQb9itQrkbhhd</v>
      </c>
    </row>
    <row r="31">
      <c r="A31" s="1" t="str">
        <f>IFERROR(__xludf.DUMMYFUNCTION("""COMPUTED_VALUE"""),"Rentschler, J., &amp; Bazilian, M. (2016, June 22). Reforming fossil fuel subsidies: drivers, barriers and the state of progress. https://www.tandfonline.com/doi/full/10.1080/14693062.2016.1169393#d1e143")</f>
        <v>Rentschler, J., &amp; Bazilian, M. (2016, June 22). Reforming fossil fuel subsidies: drivers, barriers and the state of progress. https://www.tandfonline.com/doi/full/10.1080/14693062.2016.1169393#d1e143</v>
      </c>
      <c r="B31" s="1" t="str">
        <f>IFERROR(__xludf.DUMMYFUNCTION("""COMPUTED_VALUE"""),"Jun Rentschler is a Senior Economist at the Office of the Chief Economist for Sustainable Development, working at the intersection of climate change and sustainable resilient development. Prior to joining The World Bank in 2012, he served as an Economic A"&amp;"dviser at the German Foreign Ministry. ")</f>
        <v>Jun Rentschler is a Senior Economist at the Office of the Chief Economist for Sustainable Development, working at the intersection of climate change and sustainable resilient development. Prior to joining The World Bank in 2012, he served as an Economic Adviser at the German Foreign Ministry. </v>
      </c>
      <c r="C31" s="1" t="str">
        <f>IFERROR(__xludf.DUMMYFUNCTION("""COMPUTED_VALUE"""),"NEGATIVE")</f>
        <v>NEGATIVE</v>
      </c>
      <c r="D31" s="1" t="str">
        <f>IFERROR(__xludf.DUMMYFUNCTION("""COMPUTED_VALUE"""),"Remove Fossil Fuel Subsidies")</f>
        <v>Remove Fossil Fuel Subsidies</v>
      </c>
      <c r="E31" s="1" t="str">
        <f>IFERROR(__xludf.DUMMYFUNCTION("""COMPUTED_VALUE"""),"Definitions of a fossil fuel subsidy, it outlines political, social and economic drives to remove FFS but explains how difficult it is for legislators to enact it")</f>
        <v>Definitions of a fossil fuel subsidy, it outlines political, social and economic drives to remove FFS but explains how difficult it is for legislators to enact it</v>
      </c>
      <c r="F31" s="1" t="str">
        <f>IFERROR(__xludf.DUMMYFUNCTION("""COMPUTED_VALUE"""),"This article outlines the current state of affairs in fossil fuel subsidy reform, and highlights its contribution at the nexus of climate policy, fiscal stability and sustainable development. It discusses common definitions, provides quantitative estimate"&amp;"s, and presents the evidence for key arguments in favour of subsidy reform. The main drivers and barriers for reform are also discussed, including the role of (low) oil prices and political economy challenges. Commitments to subsidy reform by the internat"&amp;"ional community are reviewed, as well as the progress at the country level. Although fossil fuel subsidy reform indeed plays a critical role in climate policy, experience shows that the rationale for such reforms is determined in a complex environment of "&amp;"political economy challenges, macro-economic, fiscal and social factors, as well as external drivers such as energy prices. The article synthesizes the key principles for designing effective reforms and emphasizes that subsidy reforms cannot only yield fi"&amp;"scal relief, but should also contribute to long-term sustainable development objectives. Areas for future research are also identified.")</f>
        <v>This article outlines the current state of affairs in fossil fuel subsidy reform, and highlights its contribution at the nexus of climate policy, fiscal stability and sustainable development. It discusses common definitions, provides quantitative estimates, and presents the evidence for key arguments in favour of subsidy reform. The main drivers and barriers for reform are also discussed, including the role of (low) oil prices and political economy challenges. Commitments to subsidy reform by the international community are reviewed, as well as the progress at the country level. Although fossil fuel subsidy reform indeed plays a critical role in climate policy, experience shows that the rationale for such reforms is determined in a complex environment of political economy challenges, macro-economic, fiscal and social factors, as well as external drivers such as energy prices. The article synthesizes the key principles for designing effective reforms and emphasizes that subsidy reforms cannot only yield fiscal relief, but should also contribute to long-term sustainable development objectives. Areas for future research are also identified.</v>
      </c>
      <c r="G31" s="1" t="str">
        <f>IFERROR(__xludf.DUMMYFUNCTION("""COMPUTED_VALUE"""),"Celletti GU")</f>
        <v>Celletti GU</v>
      </c>
      <c r="H31" s="1" t="str">
        <f>IFERROR(__xludf.DUMMYFUNCTION("""COMPUTED_VALUE"""),"1 (due   )")</f>
        <v>1 (due   )</v>
      </c>
      <c r="I31" s="6" t="str">
        <f>IFERROR(__xludf.DUMMYFUNCTION("""COMPUTED_VALUE"""),"https://drive.google.com/open?id=1svy2-4M4DwWxUov5U-TBouFrsfz_n74-")</f>
        <v>https://drive.google.com/open?id=1svy2-4M4DwWxUov5U-TBouFrsfz_n74-</v>
      </c>
    </row>
    <row r="32">
      <c r="A32" s="1" t="str">
        <f>IFERROR(__xludf.DUMMYFUNCTION("""COMPUTED_VALUE"""),"THOMPSON, S. Strategic Analysis of the Renewable Electricity Transition: Power to the World without Carbon Emissions? Energies (19961073), [s. l.], v. 16, n. 17, p. 6183, 2023. DOI 10.3390/en16176183.")</f>
        <v>THOMPSON, S. Strategic Analysis of the Renewable Electricity Transition: Power to the World without Carbon Emissions? Energies (19961073), [s. l.], v. 16, n. 17, p. 6183, 2023. DOI 10.3390/en16176183.</v>
      </c>
      <c r="B32" s="1" t="str">
        <f>IFERROR(__xludf.DUMMYFUNCTION("""COMPUTED_VALUE"""),"Associate Professor of Natural Resources, University of Manitoba")</f>
        <v>Associate Professor of Natural Resources, University of Manitoba</v>
      </c>
      <c r="C32" s="1" t="str">
        <f>IFERROR(__xludf.DUMMYFUNCTION("""COMPUTED_VALUE"""),"AFFIRMATIVE")</f>
        <v>AFFIRMATIVE</v>
      </c>
      <c r="D32" s="1" t="str">
        <f>IFERROR(__xludf.DUMMYFUNCTION("""COMPUTED_VALUE"""),"Remove Fossil Fuel Subsidies")</f>
        <v>Remove Fossil Fuel Subsidies</v>
      </c>
      <c r="E32" s="1" t="str">
        <f>IFERROR(__xludf.DUMMYFUNCTION("""COMPUTED_VALUE"""),"FF subsidies undermine Paris agreement, and need to be slashed")</f>
        <v>FF subsidies undermine Paris agreement, and need to be slashed</v>
      </c>
      <c r="F32" s="1" t="str">
        <f>IFERROR(__xludf.DUMMYFUNCTION("""COMPUTED_VALUE"""),"This paper explores the role of electricity in the transition to renewable energy to mitigate climate change. A systematic literature review with the Scopus database identified 92 papers relevant to the renewable electricity transition. A PESTLE (Politica"&amp;"l, Economic, Sociological, Technological, Legal, and Environmental) review of the papers provided a multidisciplinary analysis. The Paris Agreement created a global movement for carbon neutrality to address the threats of climate change, calling for a tra"&amp;"nsition to renewable electricity to lead the way and expand into new sectors and regions. Although smaller renewable technologies are ramping up, complexities thwarting the transition include locked-in assets, high upfront costs, variability of solar and "&amp;"wind energy, infrastructure, difficulty in decarbonizing transportation and industry, material resource constraints, and fossil fuel support. This research found that renewables are not replacing fossil fuels to date but adding further energy demands, so "&amp;"that greenhouse gas emissions rose in 2021 despite an increased renewable electricity share. Without a major shift in the trillions of dollars of subsidies and investment away from fossil fuels to renewables, catastrophic climate change is predicted. This"&amp;" paper found that the Paris Agreement’s commitment to net-zero carbon and the transition to renewable electricity are undermined by record-high levels of subsidies and financing for fossil fuel industry expansion. Transitioning to a climate-neutral econom"&amp;"y requires an investment away from fossil fuels into renewable energy ecosystems. Renewable electricity provides possibilities to realize sustainable development goals, climate stabilization, job creation, a green economy, and energy security with careful"&amp;" planning.")</f>
        <v>This paper explores the role of electricity in the transition to renewable energy to mitigate climate change. A systematic literature review with the Scopus database identified 92 papers relevant to the renewable electricity transition. A PESTLE (Political, Economic, Sociological, Technological, Legal, and Environmental) review of the papers provided a multidisciplinary analysis. The Paris Agreement created a global movement for carbon neutrality to address the threats of climate change, calling for a transition to renewable electricity to lead the way and expand into new sectors and regions. Although smaller renewable technologies are ramping up, complexities thwarting the transition include locked-in assets, high upfront costs, variability of solar and wind energy, infrastructure, difficulty in decarbonizing transportation and industry, material resource constraints, and fossil fuel support. This research found that renewables are not replacing fossil fuels to date but adding further energy demands, so that greenhouse gas emissions rose in 2021 despite an increased renewable electricity share. Without a major shift in the trillions of dollars of subsidies and investment away from fossil fuels to renewables, catastrophic climate change is predicted. This paper found that the Paris Agreement’s commitment to net-zero carbon and the transition to renewable electricity are undermined by record-high levels of subsidies and financing for fossil fuel industry expansion. Transitioning to a climate-neutral economy requires an investment away from fossil fuels into renewable energy ecosystems. Renewable electricity provides possibilities to realize sustainable development goals, climate stabilization, job creation, a green economy, and energy security with careful planning.</v>
      </c>
      <c r="G32" s="1" t="str">
        <f>IFERROR(__xludf.DUMMYFUNCTION("""COMPUTED_VALUE"""),"Celletti GU")</f>
        <v>Celletti GU</v>
      </c>
      <c r="H32" s="1" t="str">
        <f>IFERROR(__xludf.DUMMYFUNCTION("""COMPUTED_VALUE"""),"1 (due   )")</f>
        <v>1 (due   )</v>
      </c>
      <c r="I32" s="6" t="str">
        <f>IFERROR(__xludf.DUMMYFUNCTION("""COMPUTED_VALUE"""),"https://drive.google.com/open?id=1CGjmYomD5dBf9DfUdRD4EPhJBdVT_9rK")</f>
        <v>https://drive.google.com/open?id=1CGjmYomD5dBf9DfUdRD4EPhJBdVT_9rK</v>
      </c>
    </row>
    <row r="33">
      <c r="A33" s="1" t="str">
        <f>IFERROR(__xludf.DUMMYFUNCTION("""COMPUTED_VALUE"""),"Urpelainen, J. George, E. (2021). Reforming global fossil fuel subsidies: How the United States can restart international cooperation. The Brookings Institution")</f>
        <v>Urpelainen, J. George, E. (2021). Reforming global fossil fuel subsidies: How the United States can restart international cooperation. The Brookings Institution</v>
      </c>
      <c r="B33" s="1" t="str">
        <f>IFERROR(__xludf.DUMMYFUNCTION("""COMPUTED_VALUE"""),"Johannes Urpelainen: Prince Sultan bin Abdulaziz Professor of Energy, Resources and Environment - Johns Hopkins SAIS. Elisha George: Graduate Research Assistant - Initiative for Sustainable Energy Policy, Johns Hopkins University")</f>
        <v>Johannes Urpelainen: Prince Sultan bin Abdulaziz Professor of Energy, Resources and Environment - Johns Hopkins SAIS. Elisha George: Graduate Research Assistant - Initiative for Sustainable Energy Policy, Johns Hopkins University</v>
      </c>
      <c r="C33" s="1" t="str">
        <f>IFERROR(__xludf.DUMMYFUNCTION("""COMPUTED_VALUE"""),"AFFIRMATIVE")</f>
        <v>AFFIRMATIVE</v>
      </c>
      <c r="D33" s="1" t="str">
        <f>IFERROR(__xludf.DUMMYFUNCTION("""COMPUTED_VALUE"""),"Remove Fossil Fuel Subsidies")</f>
        <v>Remove Fossil Fuel Subsidies</v>
      </c>
      <c r="E33" s="1" t="str">
        <f>IFERROR(__xludf.DUMMYFUNCTION("""COMPUTED_VALUE"""),"Argues for removal of US fossil fuel subsidies in a global context. Explains how US initiative impacts global climate efforts")</f>
        <v>Argues for removal of US fossil fuel subsidies in a global context. Explains how US initiative impacts global climate efforts</v>
      </c>
      <c r="F33" s="1"/>
      <c r="G33" s="1" t="str">
        <f>IFERROR(__xludf.DUMMYFUNCTION("""COMPUTED_VALUE"""),"Mooney Hillsdale")</f>
        <v>Mooney Hillsdale</v>
      </c>
      <c r="H33" s="1" t="str">
        <f>IFERROR(__xludf.DUMMYFUNCTION("""COMPUTED_VALUE"""),"1 (due   )")</f>
        <v>1 (due   )</v>
      </c>
      <c r="I33" s="6" t="str">
        <f>IFERROR(__xludf.DUMMYFUNCTION("""COMPUTED_VALUE"""),"https://drive.google.com/open?id=1sznTTlYaDwNhYLPFILPOTFtaMWI8t_fF")</f>
        <v>https://drive.google.com/open?id=1sznTTlYaDwNhYLPFILPOTFtaMWI8t_fF</v>
      </c>
    </row>
    <row r="34">
      <c r="A34" s="1" t="str">
        <f>IFERROR(__xludf.DUMMYFUNCTION("""COMPUTED_VALUE"""),"Metcalf, G. E. (2019). On the Economics of a Carbon Tax for the United States. Brookings Papers on Economic Activity, 405-458")</f>
        <v>Metcalf, G. E. (2019). On the Economics of a Carbon Tax for the United States. Brookings Papers on Economic Activity, 405-458</v>
      </c>
      <c r="B34" s="1" t="str">
        <f>IFERROR(__xludf.DUMMYFUNCTION("""COMPUTED_VALUE"""),"Metcalf is a professor of economics at Tufts University and a research associate at the National Bureau of Economic Research.")</f>
        <v>Metcalf is a professor of economics at Tufts University and a research associate at the National Bureau of Economic Research.</v>
      </c>
      <c r="C34" s="1" t="str">
        <f>IFERROR(__xludf.DUMMYFUNCTION("""COMPUTED_VALUE"""),"AFFIRMATIVE")</f>
        <v>AFFIRMATIVE</v>
      </c>
      <c r="D34" s="1" t="str">
        <f>IFERROR(__xludf.DUMMYFUNCTION("""COMPUTED_VALUE"""),"Carbon Tax")</f>
        <v>Carbon Tax</v>
      </c>
      <c r="E34" s="1" t="str">
        <f>IFERROR(__xludf.DUMMYFUNCTION("""COMPUTED_VALUE"""),"Strong AFF advocacy supported quantitatively and by multiple empirics. ")</f>
        <v>Strong AFF advocacy supported quantitatively and by multiple empirics. </v>
      </c>
      <c r="F34" s="1" t="str">
        <f>IFERROR(__xludf.DUMMYFUNCTION("""COMPUTED_VALUE"""),"Climate change is driven by the buildup of greenhouse gases (GHGs) in the atmosphere, which is predominantly the result of the world’s consumption of fossil fuels. GHGs are a global pollution externality for which a global solution is required. I describe"&amp;" the role a domestic carbon tax could play in reducing U.S. emissions and compare and contrast alternative approaches to reducing our GHG pollution. Carbon taxes have been implemented in 23 jurisdictions around the world. I provide evidence on emission re"&amp;"ductions and the economic impact of British Columbia’s carbon tax, a broad-based carbon assessment that has been in effect for over a decade. I also provide an analysis of carbon taxes used in the countries that belong to the European Union.")</f>
        <v>Climate change is driven by the buildup of greenhouse gases (GHGs) in the atmosphere, which is predominantly the result of the world’s consumption of fossil fuels. GHGs are a global pollution externality for which a global solution is required. I describe the role a domestic carbon tax could play in reducing U.S. emissions and compare and contrast alternative approaches to reducing our GHG pollution. Carbon taxes have been implemented in 23 jurisdictions around the world. I provide evidence on emission reductions and the economic impact of British Columbia’s carbon tax, a broad-based carbon assessment that has been in effect for over a decade. I also provide an analysis of carbon taxes used in the countries that belong to the European Union.</v>
      </c>
      <c r="G34" s="1" t="str">
        <f>IFERROR(__xludf.DUMMYFUNCTION("""COMPUTED_VALUE"""),"Mooney Hillsdale")</f>
        <v>Mooney Hillsdale</v>
      </c>
      <c r="H34" s="1" t="str">
        <f>IFERROR(__xludf.DUMMYFUNCTION("""COMPUTED_VALUE"""),"1 (due   )")</f>
        <v>1 (due   )</v>
      </c>
      <c r="I34" s="6" t="str">
        <f>IFERROR(__xludf.DUMMYFUNCTION("""COMPUTED_VALUE"""),"https://drive.google.com/open?id=1W5d5V07POp--_kB4h_3t-Yu-5iLJ9YB6")</f>
        <v>https://drive.google.com/open?id=1W5d5V07POp--_kB4h_3t-Yu-5iLJ9YB6</v>
      </c>
    </row>
    <row r="35">
      <c r="A35" s="1" t="str">
        <f>IFERROR(__xludf.DUMMYFUNCTION("""COMPUTED_VALUE"""),"Rosenbloom, D. Markard, J. Geels, F. Fuenfschilling, L. (2020). Why carbon pricing is not sufficient to mitigate climate change—and how “sustainability transition policy” can help. PNAS, 117 (16) 8664-8668")</f>
        <v>Rosenbloom, D. Markard, J. Geels, F. Fuenfschilling, L. (2020). Why carbon pricing is not sufficient to mitigate climate change—and how “sustainability transition policy” can help. PNAS, 117 (16) 8664-8668</v>
      </c>
      <c r="B35" s="1" t="str">
        <f>IFERROR(__xludf.DUMMYFUNCTION("""COMPUTED_VALUE"""),"Daniel Rosenblooma, Jochen Markardb, Frank W. Geelsc, and Lea Fuenfschilling d: a Department of Political Science, University of Toronto; b Department of Management, Technology, and Economics, ETH Zürich, ; c Alliance Manchester Business School, Universit"&amp;"y of Manchester; and d Centre for Innovation, Research and Competence in the Learning Economy, Lund University")</f>
        <v>Daniel Rosenblooma, Jochen Markardb, Frank W. Geelsc, and Lea Fuenfschilling d: a Department of Political Science, University of Toronto; b Department of Management, Technology, and Economics, ETH Zürich, ; c Alliance Manchester Business School, University of Manchester; and d Centre for Innovation, Research and Competence in the Learning Economy, Lund University</v>
      </c>
      <c r="C35" s="1" t="str">
        <f>IFERROR(__xludf.DUMMYFUNCTION("""COMPUTED_VALUE"""),"NEGATIVE")</f>
        <v>NEGATIVE</v>
      </c>
      <c r="D35" s="1" t="str">
        <f>IFERROR(__xludf.DUMMYFUNCTION("""COMPUTED_VALUE"""),"Carbon tax and Emissions Trading + CP")</f>
        <v>Carbon tax and Emissions Trading + CP</v>
      </c>
      <c r="E35" s="1" t="str">
        <f>IFERROR(__xludf.DUMMYFUNCTION("""COMPUTED_VALUE"""),"Criticizes carbon pricing and market mechanisms of addressing climate change in five ways. Includes a potential counter plan of Sustainability Transition Policy, which it defines")</f>
        <v>Criticizes carbon pricing and market mechanisms of addressing climate change in five ways. Includes a potential counter plan of Sustainability Transition Policy, which it defines</v>
      </c>
      <c r="F35" s="1" t="str">
        <f>IFERROR(__xludf.DUMMYFUNCTION("""COMPUTED_VALUE"""),"Carbon pricing is often presented as the primary policy approach to address climate change. We challenge this position and offer “sustainability transition policy” (STP) as an alternative. Carbon pricing has weaknesses with regard to five central dimensio"&amp;"ns: 1) problem framing and solution orientation, 2) policy priorities, 3) innovation approach, 4) contextual considerations, and 5) politics. In order to address the urgency of climate change and to achieve deep decarbonization, climate policy responses n"&amp;"eed to move beyond market failure reasoning and focus on fundamental changes in existing sociotechnical systems such as energy, mobility, food, and industrial production. The core principles of STP can help tackle this challenge.")</f>
        <v>Carbon pricing is often presented as the primary policy approach to address climate change. We challenge this position and offer “sustainability transition policy” (STP) as an alternative. Carbon pricing has weaknesses with regard to five central dimensions: 1) problem framing and solution orientation, 2) policy priorities, 3) innovation approach, 4) contextual considerations, and 5) politics. In order to address the urgency of climate change and to achieve deep decarbonization, climate policy responses need to move beyond market failure reasoning and focus on fundamental changes in existing sociotechnical systems such as energy, mobility, food, and industrial production. The core principles of STP can help tackle this challenge.</v>
      </c>
      <c r="G35" s="1" t="str">
        <f>IFERROR(__xludf.DUMMYFUNCTION("""COMPUTED_VALUE"""),"Mooney Hillsdale")</f>
        <v>Mooney Hillsdale</v>
      </c>
      <c r="H35" s="1" t="str">
        <f>IFERROR(__xludf.DUMMYFUNCTION("""COMPUTED_VALUE"""),"1 (due   )")</f>
        <v>1 (due   )</v>
      </c>
      <c r="I35" s="6" t="str">
        <f>IFERROR(__xludf.DUMMYFUNCTION("""COMPUTED_VALUE"""),"https://drive.google.com/open?id=1SuUf9cdaU3LbVjb4E8xY24d1xhT6tc0b")</f>
        <v>https://drive.google.com/open?id=1SuUf9cdaU3LbVjb4E8xY24d1xhT6tc0b</v>
      </c>
    </row>
    <row r="36">
      <c r="A36" s="1" t="str">
        <f>IFERROR(__xludf.DUMMYFUNCTION("""COMPUTED_VALUE"""),"Rentschler, J., &amp; Bazilian, M. (2018). Principles for designing effective fossil fuel subsidy reforms. In Fossil Fuel Subsidy Reforms (pp. 180–201). doi:10.4324/9781351175821-8")</f>
        <v>Rentschler, J., &amp; Bazilian, M. (2018). Principles for designing effective fossil fuel subsidy reforms. In Fossil Fuel Subsidy Reforms (pp. 180–201). doi:10.4324/9781351175821-8</v>
      </c>
      <c r="B36" s="1" t="str">
        <f>IFERROR(__xludf.DUMMYFUNCTION("""COMPUTED_VALUE"""),"Jun Rentschler (University College London, Institute for Sustainable Resources; Oxford Institute for Energy Studies) and Morgan Bazilian (KTH Royal Institute of Technology, Stockholm)")</f>
        <v>Jun Rentschler (University College London, Institute for Sustainable Resources; Oxford Institute for Energy Studies) and Morgan Bazilian (KTH Royal Institute of Technology, Stockholm)</v>
      </c>
      <c r="C36" s="1" t="str">
        <f>IFERROR(__xludf.DUMMYFUNCTION("""COMPUTED_VALUE"""),"AFFIRMATIVE")</f>
        <v>AFFIRMATIVE</v>
      </c>
      <c r="D36" s="1" t="str">
        <f>IFERROR(__xludf.DUMMYFUNCTION("""COMPUTED_VALUE"""),"Remove Fossil Fuel Subsidies")</f>
        <v>Remove Fossil Fuel Subsidies</v>
      </c>
      <c r="E36" s="1" t="str">
        <f>IFERROR(__xludf.DUMMYFUNCTION("""COMPUTED_VALUE"""),"A guide to past and present fossil fuel subsidy reforms in many different countries, which reflects upon how the US should move forward in the removal of its own. ")</f>
        <v>A guide to past and present fossil fuel subsidy reforms in many different countries, which reflects upon how the US should move forward in the removal of its own. </v>
      </c>
      <c r="F36" s="1" t="str">
        <f>IFERROR(__xludf.DUMMYFUNCTION("""COMPUTED_VALUE"""),"As the momentum for FFS reforms continues to build, policy practitioners can draw on the experiences and lessons of past reforms (both failed and successful) to guide the design and implementation of future reforms.")</f>
        <v>As the momentum for FFS reforms continues to build, policy practitioners can draw on the experiences and lessons of past reforms (both failed and successful) to guide the design and implementation of future reforms.</v>
      </c>
      <c r="G36" s="1" t="str">
        <f>IFERROR(__xludf.DUMMYFUNCTION("""COMPUTED_VALUE"""),"Casey WWU")</f>
        <v>Casey WWU</v>
      </c>
      <c r="H36" s="1" t="str">
        <f>IFERROR(__xludf.DUMMYFUNCTION("""COMPUTED_VALUE"""),"1 (due   )")</f>
        <v>1 (due   )</v>
      </c>
      <c r="I36" s="6" t="str">
        <f>IFERROR(__xludf.DUMMYFUNCTION("""COMPUTED_VALUE"""),"https://drive.google.com/open?id=1GDdkjTaRMDk4Fd_vh8xSfGQjA8KFj7j0")</f>
        <v>https://drive.google.com/open?id=1GDdkjTaRMDk4Fd_vh8xSfGQjA8KFj7j0</v>
      </c>
    </row>
    <row r="37">
      <c r="A37" s="1" t="str">
        <f>IFERROR(__xludf.DUMMYFUNCTION("""COMPUTED_VALUE"""),"Bailey, D. (2023). Unlocking net zero emissions: accelerating innovation &amp; deployment through carbon pricing. Climate Leadership Council")</f>
        <v>Bailey, D. (2023). Unlocking net zero emissions: accelerating innovation &amp; deployment through carbon pricing. Climate Leadership Council</v>
      </c>
      <c r="B37" s="1" t="str">
        <f>IFERROR(__xludf.DUMMYFUNCTION("""COMPUTED_VALUE"""),"CLC senior advsior; Georgetown SFS instructor.")</f>
        <v>CLC senior advsior; Georgetown SFS instructor.</v>
      </c>
      <c r="C37" s="1" t="str">
        <f>IFERROR(__xludf.DUMMYFUNCTION("""COMPUTED_VALUE"""),"AFFIRMATIVE")</f>
        <v>AFFIRMATIVE</v>
      </c>
      <c r="D37" s="1" t="str">
        <f>IFERROR(__xludf.DUMMYFUNCTION("""COMPUTED_VALUE"""),"Carbon Tax")</f>
        <v>Carbon Tax</v>
      </c>
      <c r="E37" s="1" t="str">
        <f>IFERROR(__xludf.DUMMYFUNCTION("""COMPUTED_VALUE"""),"Broad defense of carbon tax--focused on innovation")</f>
        <v>Broad defense of carbon tax--focused on innovation</v>
      </c>
      <c r="F37" s="1" t="str">
        <f>IFERROR(__xludf.DUMMYFUNCTION("""COMPUTED_VALUE"""),"n/a")</f>
        <v>n/a</v>
      </c>
      <c r="G37" s="1" t="str">
        <f>IFERROR(__xludf.DUMMYFUNCTION("""COMPUTED_VALUE"""),"Cram Helwich, UMN")</f>
        <v>Cram Helwich, UMN</v>
      </c>
      <c r="H37" s="1" t="str">
        <f>IFERROR(__xludf.DUMMYFUNCTION("""COMPUTED_VALUE"""),"1 (due   )")</f>
        <v>1 (due   )</v>
      </c>
      <c r="I37" s="6" t="str">
        <f>IFERROR(__xludf.DUMMYFUNCTION("""COMPUTED_VALUE"""),"https://drive.google.com/open?id=1jnx0QZRCwYYoHo4C4UnxZKEdLXeSJJPF")</f>
        <v>https://drive.google.com/open?id=1jnx0QZRCwYYoHo4C4UnxZKEdLXeSJJPF</v>
      </c>
    </row>
    <row r="38">
      <c r="A38" s="1" t="str">
        <f>IFERROR(__xludf.DUMMYFUNCTION("""COMPUTED_VALUE"""),"Rorke, C. &amp; Bertelsen, G. (2020). America's carbon advantage. Climate Leadership Council")</f>
        <v>Rorke, C. &amp; Bertelsen, G. (2020). America's carbon advantage. Climate Leadership Council</v>
      </c>
      <c r="B38" s="1" t="str">
        <f>IFERROR(__xludf.DUMMYFUNCTION("""COMPUTED_VALUE"""),"Rorke--VP, CLC &amp; former Director, Energy Policy, R Street Institute; Bertelsen, CEO, CLC &amp; former NAM Senior Director")</f>
        <v>Rorke--VP, CLC &amp; former Director, Energy Policy, R Street Institute; Bertelsen, CEO, CLC &amp; former NAM Senior Director</v>
      </c>
      <c r="C38" s="1" t="str">
        <f>IFERROR(__xludf.DUMMYFUNCTION("""COMPUTED_VALUE"""),"AFFIRMATIVE")</f>
        <v>AFFIRMATIVE</v>
      </c>
      <c r="D38" s="1" t="str">
        <f>IFERROR(__xludf.DUMMYFUNCTION("""COMPUTED_VALUE"""),"Carbon Tax")</f>
        <v>Carbon Tax</v>
      </c>
      <c r="E38" s="1" t="str">
        <f>IFERROR(__xludf.DUMMYFUNCTION("""COMPUTED_VALUE"""),"CT--defense of border adjustment mechanisms")</f>
        <v>CT--defense of border adjustment mechanisms</v>
      </c>
      <c r="F38" s="1" t="str">
        <f>IFERROR(__xludf.DUMMYFUNCTION("""COMPUTED_VALUE"""),"n/a")</f>
        <v>n/a</v>
      </c>
      <c r="G38" s="1" t="str">
        <f>IFERROR(__xludf.DUMMYFUNCTION("""COMPUTED_VALUE"""),"Cram Helwich, UMN")</f>
        <v>Cram Helwich, UMN</v>
      </c>
      <c r="H38" s="1" t="str">
        <f>IFERROR(__xludf.DUMMYFUNCTION("""COMPUTED_VALUE"""),"1 (due   )")</f>
        <v>1 (due   )</v>
      </c>
      <c r="I38" s="6" t="str">
        <f>IFERROR(__xludf.DUMMYFUNCTION("""COMPUTED_VALUE"""),"https://drive.google.com/open?id=1_XiqsrXAm1Pt4cZ5LC7n95mMGeHGeUSr")</f>
        <v>https://drive.google.com/open?id=1_XiqsrXAm1Pt4cZ5LC7n95mMGeHGeUSr</v>
      </c>
    </row>
    <row r="39">
      <c r="A39" s="1" t="str">
        <f>IFERROR(__xludf.DUMMYFUNCTION("""COMPUTED_VALUE"""),"Alexander S (2020) Post-capitalism by design not disaster. The Ecological Citizen 3(Suppl B): 13–21.")</f>
        <v>Alexander S (2020) Post-capitalism by design not disaster. The Ecological Citizen 3(Suppl B): 13–21.</v>
      </c>
      <c r="B39" s="1" t="str">
        <f>IFERROR(__xludf.DUMMYFUNCTION("""COMPUTED_VALUE"""),"Lecturer with Office for Environmental Programs, University of Melbourne (Australia); Research fellow with the Melbourne Sustainable Society Institute")</f>
        <v>Lecturer with Office for Environmental Programs, University of Melbourne (Australia); Research fellow with the Melbourne Sustainable Society Institute</v>
      </c>
      <c r="C39" s="1" t="str">
        <f>IFERROR(__xludf.DUMMYFUNCTION("""COMPUTED_VALUE"""),"NEGATIVE")</f>
        <v>NEGATIVE</v>
      </c>
      <c r="D39" s="1" t="str">
        <f>IFERROR(__xludf.DUMMYFUNCTION("""COMPUTED_VALUE"""),"Degrowth")</f>
        <v>Degrowth</v>
      </c>
      <c r="E39" s="1" t="str">
        <f>IFERROR(__xludf.DUMMYFUNCTION("""COMPUTED_VALUE"""),"Degrowth is inevitable; only its form is in question. Embracing degrowth theory is necessary so that when circumstances permit a smoother transition is possible. Solvency for an alternative.")</f>
        <v>Degrowth is inevitable; only its form is in question. Embracing degrowth theory is necessary so that when circumstances permit a smoother transition is possible. Solvency for an alternative.</v>
      </c>
      <c r="F39" s="1" t="str">
        <f>IFERROR(__xludf.DUMMYFUNCTION("""COMPUTED_VALUE"""),"This article examines how to proactively design the end of capitalism rather than simply waiting for its collapse. It argues that capitalism is unable to resolve the emerging crises, for capitalism cannot function without economic growth, yet for ecologic"&amp;"al reasons economic growth cannot continue. However, there is a coherent alternative political economy – degrowth – and the emergence of various grassroots alternatives that, suitably scaled up, could help to form a post-capitalist economy. But our cultur"&amp;"e is not yet ready to embrace degrowth, with consumer affluence and techno-optimism still at the heart of mainstream conceptions of the ‘good life’. Nonetheless, it is important to keep alive these ideas of what an ecocentric, post-capitalist economy coul"&amp;"d look like, for in a crisis what today seems impossible or implausible can suddenly become possible and even probable.")</f>
        <v>This article examines how to proactively design the end of capitalism rather than simply waiting for its collapse. It argues that capitalism is unable to resolve the emerging crises, for capitalism cannot function without economic growth, yet for ecological reasons economic growth cannot continue. However, there is a coherent alternative political economy – degrowth – and the emergence of various grassroots alternatives that, suitably scaled up, could help to form a post-capitalist economy. But our culture is not yet ready to embrace degrowth, with consumer affluence and techno-optimism still at the heart of mainstream conceptions of the ‘good life’. Nonetheless, it is important to keep alive these ideas of what an ecocentric, post-capitalist economy could look like, for in a crisis what today seems impossible or implausible can suddenly become possible and even probable.</v>
      </c>
      <c r="G39" s="1" t="str">
        <f>IFERROR(__xludf.DUMMYFUNCTION("""COMPUTED_VALUE"""),"Jacobsen Oregon")</f>
        <v>Jacobsen Oregon</v>
      </c>
      <c r="H39" s="1" t="str">
        <f>IFERROR(__xludf.DUMMYFUNCTION("""COMPUTED_VALUE"""),"1 (due   )")</f>
        <v>1 (due   )</v>
      </c>
      <c r="I39" s="6" t="str">
        <f>IFERROR(__xludf.DUMMYFUNCTION("""COMPUTED_VALUE"""),"https://drive.google.com/open?id=1efLCMnwujMT8heDoatI8OkutakS4PaSf")</f>
        <v>https://drive.google.com/open?id=1efLCMnwujMT8heDoatI8OkutakS4PaSf</v>
      </c>
    </row>
    <row r="40">
      <c r="A40" s="1" t="str">
        <f>IFERROR(__xludf.DUMMYFUNCTION("""COMPUTED_VALUE"""),"Dunlap, A. (2023). The green economy as counterinsurgency, or the ontological power affirming permanent ecological catastrophe. Environmental Science and Policy 139 (2023) 39–50")</f>
        <v>Dunlap, A. (2023). The green economy as counterinsurgency, or the ontological power affirming permanent ecological catastrophe. Environmental Science and Policy 139 (2023) 39–50</v>
      </c>
      <c r="B40" s="1" t="str">
        <f>IFERROR(__xludf.DUMMYFUNCTION("""COMPUTED_VALUE"""),"Centre for Development and the Environment, University of Oslo, Norway")</f>
        <v>Centre for Development and the Environment, University of Oslo, Norway</v>
      </c>
      <c r="C40" s="1" t="str">
        <f>IFERROR(__xludf.DUMMYFUNCTION("""COMPUTED_VALUE"""),"NEGATIVE")</f>
        <v>NEGATIVE</v>
      </c>
      <c r="D40" s="1" t="str">
        <f>IFERROR(__xludf.DUMMYFUNCTION("""COMPUTED_VALUE"""),"Degrowth")</f>
        <v>Degrowth</v>
      </c>
      <c r="E40" s="1" t="str">
        <f>IFERROR(__xludf.DUMMYFUNCTION("""COMPUTED_VALUE"""),"Argues the emphasis on greening capitalism while continuing growthism invigorates the global capitalist order as a form of ideological counter-insurgency, defusing and defanging opposition")</f>
        <v>Argues the emphasis on greening capitalism while continuing growthism invigorates the global capitalist order as a form of ideological counter-insurgency, defusing and defanging opposition</v>
      </c>
      <c r="F40" s="1" t="str">
        <f>IFERROR(__xludf.DUMMYFUNCTION("""COMPUTED_VALUE"""),"As old as industrialism or civilization itself, socio-ecological problems are nothing new. Despite all efforts to resolve environmental dilemmas, socio-ecological catastrophe has only intensified. Governments, in response, have unveiled the green economy "&amp;"to confront ecological and climate catastrophe. The green economy, however, has worsened socio-ecological conditions, invigorating the present trajectory of (techno)capitalist development. This article argues that the green economy serves as a tool of glo"&amp;"bal counterinsurgency, managing, preempting and redirecting the inevitable ecological anxiety that could mobilize for radical social change. While fragmenting ecological opposition, the green economy meanwhile serves as a “force multiplier” for market exp"&amp;"ansion and capitalist development, as opposed to actually working towards real socio-ecological mitigation and remediation. The article proceeds by defining counterinsurgency, and indicating its relevance to the green economy. Dissecting the technics of t"&amp;"he green economy, the next section reviews its origins and epistemological foundations by investigating the concepts and operationalization of ‘energy’, ‘biodiversity’ and ‘carbon’. Then, briefly, the article reviews the extractive reality of low-carbon i"&amp;"nfrastructures, revealing the socio-ecological harm implied and justified by the green economic and decarbonization schemes. The green economy, it concludes, is a governmental technology, preventing collective self-reflection and action to (adequately) re"&amp;"habilitate ecosystems and address the structural socio-ecological problems threatening the planet, thus preforming a counter-insurrectionary function in the service of state and capital. ")</f>
        <v>As old as industrialism or civilization itself, socio-ecological problems are nothing new. Despite all efforts to resolve environmental dilemmas, socio-ecological catastrophe has only intensified. Governments, in response, have unveiled the green economy to confront ecological and climate catastrophe. The green economy, however, has worsened socio-ecological conditions, invigorating the present trajectory of (techno)capitalist development. This article argues that the green economy serves as a tool of global counterinsurgency, managing, preempting and redirecting the inevitable ecological anxiety that could mobilize for radical social change. While fragmenting ecological opposition, the green economy meanwhile serves as a “force multiplier” for market expansion and capitalist development, as opposed to actually working towards real socio-ecological mitigation and remediation. The article proceeds by defining counterinsurgency, and indicating its relevance to the green economy. Dissecting the technics of the green economy, the next section reviews its origins and epistemological foundations by investigating the concepts and operationalization of ‘energy’, ‘biodiversity’ and ‘carbon’. Then, briefly, the article reviews the extractive reality of low-carbon infrastructures, revealing the socio-ecological harm implied and justified by the green economic and decarbonization schemes. The green economy, it concludes, is a governmental technology, preventing collective self-reflection and action to (adequately) rehabilitate ecosystems and address the structural socio-ecological problems threatening the planet, thus preforming a counter-insurrectionary function in the service of state and capital. </v>
      </c>
      <c r="G40" s="1" t="str">
        <f>IFERROR(__xludf.DUMMYFUNCTION("""COMPUTED_VALUE"""),"Jacobsen")</f>
        <v>Jacobsen</v>
      </c>
      <c r="H40" s="1" t="str">
        <f>IFERROR(__xludf.DUMMYFUNCTION("""COMPUTED_VALUE"""),"1 (due   )")</f>
        <v>1 (due   )</v>
      </c>
      <c r="I40" s="6" t="str">
        <f>IFERROR(__xludf.DUMMYFUNCTION("""COMPUTED_VALUE"""),"https://drive.google.com/open?id=1tHU1TJzAqMEoiPuiaCAljtqHLo5P-G1N")</f>
        <v>https://drive.google.com/open?id=1tHU1TJzAqMEoiPuiaCAljtqHLo5P-G1N</v>
      </c>
    </row>
    <row r="41">
      <c r="A41" s="1" t="str">
        <f>IFERROR(__xludf.DUMMYFUNCTION("""COMPUTED_VALUE"""),"Schwartzman, D. (2022). A critique of degrowth: An ecosocialist perspective in the context of a global Green New Deal. Climate and Capitalism. January 5, 2022. https://climateandcapitalism.com/2022/01/05/a-critique-of-degrowth/")</f>
        <v>Schwartzman, D. (2022). A critique of degrowth: An ecosocialist perspective in the context of a global Green New Deal. Climate and Capitalism. January 5, 2022. https://climateandcapitalism.com/2022/01/05/a-critique-of-degrowth/</v>
      </c>
      <c r="B41" s="1" t="str">
        <f>IFERROR(__xludf.DUMMYFUNCTION("""COMPUTED_VALUE"""),"Professor Emeritus at Howard University")</f>
        <v>Professor Emeritus at Howard University</v>
      </c>
      <c r="C41" s="1" t="str">
        <f>IFERROR(__xludf.DUMMYFUNCTION("""COMPUTED_VALUE"""),"AFFIRMATIVE")</f>
        <v>AFFIRMATIVE</v>
      </c>
      <c r="D41" s="1" t="str">
        <f>IFERROR(__xludf.DUMMYFUNCTION("""COMPUTED_VALUE"""),"Degrowth")</f>
        <v>Degrowth</v>
      </c>
      <c r="E41" s="1" t="str">
        <f>IFERROR(__xludf.DUMMYFUNCTION("""COMPUTED_VALUE"""),"Argues degrowth cannot and should not be implemented because it will never serve the interests of the global working class and ignores opportunities for a renewables transition.")</f>
        <v>Argues degrowth cannot and should not be implemented because it will never serve the interests of the global working class and ignores opportunities for a renewables transition.</v>
      </c>
      <c r="F41" s="1"/>
      <c r="G41" s="1" t="str">
        <f>IFERROR(__xludf.DUMMYFUNCTION("""COMPUTED_VALUE"""),"Jacobsen Oregon")</f>
        <v>Jacobsen Oregon</v>
      </c>
      <c r="H41" s="1" t="str">
        <f>IFERROR(__xludf.DUMMYFUNCTION("""COMPUTED_VALUE"""),"1 (due   )")</f>
        <v>1 (due   )</v>
      </c>
      <c r="I41" s="6" t="str">
        <f>IFERROR(__xludf.DUMMYFUNCTION("""COMPUTED_VALUE"""),"https://drive.google.com/open?id=1Uz5ygl7IBz9p-i84ISIavOx-nVWEb4nq")</f>
        <v>https://drive.google.com/open?id=1Uz5ygl7IBz9p-i84ISIavOx-nVWEb4nq</v>
      </c>
    </row>
    <row r="42">
      <c r="A42" s="1" t="str">
        <f>IFERROR(__xludf.DUMMYFUNCTION("""COMPUTED_VALUE"""),"Warlenius, R.H. (2023). The limits to degrowth: Economic and climatic consequences of pessimist assumptions on decoupling. Ecological Economics, 213(November), 107937. https://doi.org/10.1016/j.ecolecon.2023.107937.")</f>
        <v>Warlenius, R.H. (2023). The limits to degrowth: Economic and climatic consequences of pessimist assumptions on decoupling. Ecological Economics, 213(November), 107937. https://doi.org/10.1016/j.ecolecon.2023.107937.</v>
      </c>
      <c r="B42" s="1" t="str">
        <f>IFERROR(__xludf.DUMMYFUNCTION("""COMPUTED_VALUE"""),"Prof Environmental Social Science, School of Global Studies, University of Gothenburg, Sweden")</f>
        <v>Prof Environmental Social Science, School of Global Studies, University of Gothenburg, Sweden</v>
      </c>
      <c r="C42" s="1" t="str">
        <f>IFERROR(__xludf.DUMMYFUNCTION("""COMPUTED_VALUE"""),"AFFIRMATIVE")</f>
        <v>AFFIRMATIVE</v>
      </c>
      <c r="D42" s="1" t="str">
        <f>IFERROR(__xludf.DUMMYFUNCTION("""COMPUTED_VALUE"""),"Degrowth")</f>
        <v>Degrowth</v>
      </c>
      <c r="E42" s="1" t="str">
        <f>IFERROR(__xludf.DUMMYFUNCTION("""COMPUTED_VALUE"""),"Argues the core claim of degrowth advocates - ecological damage cannot be decoupled from growth - is mistaken and that degrowth is impossible to achieve.")</f>
        <v>Argues the core claim of degrowth advocates - ecological damage cannot be decoupled from growth - is mistaken and that degrowth is impossible to achieve.</v>
      </c>
      <c r="F42" s="1" t="str">
        <f>IFERROR(__xludf.DUMMYFUNCTION("""COMPUTED_VALUE"""),"In the debate between proponents of green growth and degrowth, the core issue is whether decoupling carbon emissions and resource use from GDP growth is possible, and if so, possible at a rate fast enough to achieve policy goals such as global warming of "&amp;"maximum 1.5 ◦C or 2 ◦C. In this paper, the claims by degrowth scholars on the limits of decoupling growth and carbon emissions are critically examined by assessing the economic and climate consequences of their claims. It is claimed that their pessimistic"&amp;" view on decoupling is not based on robust arguments but rather mystifications of what decoupling is. Following the assumptions by leading degrowth scholars – that decoupling (decrease of the emission intensity of GDP) are unlikely to be larger than 4% an"&amp;"d that levels of GDP need to converge in a degrowing world – indicates that the 1.5 ◦C target is ruled out altogether and that in order to reach the 2 ◦C target, the economies of the global north would have to be reduced with over 90% and for middle incom"&amp;"e countries with around 70%. This appears as very unlikely to happen. Yet, there might be alternatives, which are discussed by sketching a realist and dynamic theory of decoupling.")</f>
        <v>In the debate between proponents of green growth and degrowth, the core issue is whether decoupling carbon emissions and resource use from GDP growth is possible, and if so, possible at a rate fast enough to achieve policy goals such as global warming of maximum 1.5 ◦C or 2 ◦C. In this paper, the claims by degrowth scholars on the limits of decoupling growth and carbon emissions are critically examined by assessing the economic and climate consequences of their claims. It is claimed that their pessimistic view on decoupling is not based on robust arguments but rather mystifications of what decoupling is. Following the assumptions by leading degrowth scholars – that decoupling (decrease of the emission intensity of GDP) are unlikely to be larger than 4% and that levels of GDP need to converge in a degrowing world – indicates that the 1.5 ◦C target is ruled out altogether and that in order to reach the 2 ◦C target, the economies of the global north would have to be reduced with over 90% and for middle income countries with around 70%. This appears as very unlikely to happen. Yet, there might be alternatives, which are discussed by sketching a realist and dynamic theory of decoupling.</v>
      </c>
      <c r="G42" s="1" t="str">
        <f>IFERROR(__xludf.DUMMYFUNCTION("""COMPUTED_VALUE"""),"Jacobsen Oregon")</f>
        <v>Jacobsen Oregon</v>
      </c>
      <c r="H42" s="1" t="str">
        <f>IFERROR(__xludf.DUMMYFUNCTION("""COMPUTED_VALUE"""),"1 (due   )")</f>
        <v>1 (due   )</v>
      </c>
      <c r="I42" s="6" t="str">
        <f>IFERROR(__xludf.DUMMYFUNCTION("""COMPUTED_VALUE"""),"https://drive.google.com/open?id=1nXSZbskfKIgvcgCbNnqhvsnF7zzpOpnV")</f>
        <v>https://drive.google.com/open?id=1nXSZbskfKIgvcgCbNnqhvsnF7zzpOpnV</v>
      </c>
    </row>
    <row r="43">
      <c r="A43" s="1" t="str">
        <f>IFERROR(__xludf.DUMMYFUNCTION("""COMPUTED_VALUE"""),"Issaoui, F., Alqahtani, M., Guesmi, M., &amp; Jamee, A. (2024). Should we be sceptical in the face of calls for degrowth? Journal of Infrastructure, Policy and Development 2024, 8(5), 4292. Available at SSRN: https://ssrn.com/abstract=4555462 or http://dx.doi"&amp;".org/10.2139/ssrn.4555462")</f>
        <v>Issaoui, F., Alqahtani, M., Guesmi, M., &amp; Jamee, A. (2024). Should we be sceptical in the face of calls for degrowth? Journal of Infrastructure, Policy and Development 2024, 8(5), 4292. Available at SSRN: https://ssrn.com/abstract=4555462 or http://dx.doi.org/10.2139/ssrn.4555462</v>
      </c>
      <c r="B43" s="1" t="str">
        <f>IFERROR(__xludf.DUMMYFUNCTION("""COMPUTED_VALUE"""),"Fakhri &amp; Alqahtani @ College of Business, King Khalid University, Saudi Arabia; Guesmi @ Université de Jendouba, Tunisia; Jamee @ El Manar University, Tunisia")</f>
        <v>Fakhri &amp; Alqahtani @ College of Business, King Khalid University, Saudi Arabia; Guesmi @ Université de Jendouba, Tunisia; Jamee @ El Manar University, Tunisia</v>
      </c>
      <c r="C43" s="1" t="str">
        <f>IFERROR(__xludf.DUMMYFUNCTION("""COMPUTED_VALUE"""),"AFFIRMATIVE")</f>
        <v>AFFIRMATIVE</v>
      </c>
      <c r="D43" s="1" t="str">
        <f>IFERROR(__xludf.DUMMYFUNCTION("""COMPUTED_VALUE"""),"Degrowth")</f>
        <v>Degrowth</v>
      </c>
      <c r="E43" s="1" t="str">
        <f>IFERROR(__xludf.DUMMYFUNCTION("""COMPUTED_VALUE"""),"Argues that degrowth cannot be achieved without mitigating social policy that should be financed by a carbon tax. Carbon tax perm answer to degrowth.")</f>
        <v>Argues that degrowth cannot be achieved without mitigating social policy that should be financed by a carbon tax. Carbon tax perm answer to degrowth.</v>
      </c>
      <c r="F43" s="1" t="str">
        <f>IFERROR(__xludf.DUMMYFUNCTION("""COMPUTED_VALUE"""),"In recent years, an ‘international’ unanimity has been reached as to the importance of collective collaboration to avoid the negative effects of climate change. This requires rethinking the old or traditional development model based on economic growth as "&amp;"the exclusive indicator of wealth. Thus, humanity has an urgent need to adopt a new, more humane and fairer economic model that constitutes an alternative to the models of exponential growth that have dominated in the last two centuries. To do so, humanit"&amp;"y is looking to the Degrowth model as a potential concept that aims to reduce wealth from pollutants, seeks more justice (as equity), and the improvement of the capabilities of those who are poor and disadvantaged (in the sense of Amartya Sen and Martha N"&amp;"ussbaum). The purpose of this article is to question this model and whether it actually does improve environmental quality. Additionally, if the response is positive, another question arises: How to finance degrowth especially when we seek other less poll"&amp;"uting energy sources whose costs seem to be very high?")</f>
        <v>In recent years, an ‘international’ unanimity has been reached as to the importance of collective collaboration to avoid the negative effects of climate change. This requires rethinking the old or traditional development model based on economic growth as the exclusive indicator of wealth. Thus, humanity has an urgent need to adopt a new, more humane and fairer economic model that constitutes an alternative to the models of exponential growth that have dominated in the last two centuries. To do so, humanity is looking to the Degrowth model as a potential concept that aims to reduce wealth from pollutants, seeks more justice (as equity), and the improvement of the capabilities of those who are poor and disadvantaged (in the sense of Amartya Sen and Martha Nussbaum). The purpose of this article is to question this model and whether it actually does improve environmental quality. Additionally, if the response is positive, another question arises: How to finance degrowth especially when we seek other less polluting energy sources whose costs seem to be very high?</v>
      </c>
      <c r="G43" s="1" t="str">
        <f>IFERROR(__xludf.DUMMYFUNCTION("""COMPUTED_VALUE"""),"Jacobsen Oregon")</f>
        <v>Jacobsen Oregon</v>
      </c>
      <c r="H43" s="1" t="str">
        <f>IFERROR(__xludf.DUMMYFUNCTION("""COMPUTED_VALUE"""),"1 (due   )")</f>
        <v>1 (due   )</v>
      </c>
      <c r="I43" s="6" t="str">
        <f>IFERROR(__xludf.DUMMYFUNCTION("""COMPUTED_VALUE"""),"https://drive.google.com/open?id=1yhGfCSdpkPkcPF3bntMbqDHmtokgugFi")</f>
        <v>https://drive.google.com/open?id=1yhGfCSdpkPkcPF3bntMbqDHmtokgugFi</v>
      </c>
    </row>
    <row r="44">
      <c r="A44" s="1" t="str">
        <f>IFERROR(__xludf.DUMMYFUNCTION("""COMPUTED_VALUE"""),"Trainer, T. (2020). Simpler way transition theory. Real-World Economics Review, no. 93, pp. 96-112")</f>
        <v>Trainer, T. (2020). Simpler way transition theory. Real-World Economics Review, no. 93, pp. 96-112</v>
      </c>
      <c r="B44" s="1" t="str">
        <f>IFERROR(__xludf.DUMMYFUNCTION("""COMPUTED_VALUE"""),"Conjoint Lecturer in the School of Social Sciences, University of New South Wales")</f>
        <v>Conjoint Lecturer in the School of Social Sciences, University of New South Wales</v>
      </c>
      <c r="C44" s="1" t="str">
        <f>IFERROR(__xludf.DUMMYFUNCTION("""COMPUTED_VALUE"""),"AFFIRMATIVE")</f>
        <v>AFFIRMATIVE</v>
      </c>
      <c r="D44" s="1" t="str">
        <f>IFERROR(__xludf.DUMMYFUNCTION("""COMPUTED_VALUE"""),"Degrowth")</f>
        <v>Degrowth</v>
      </c>
      <c r="E44" s="1" t="str">
        <f>IFERROR(__xludf.DUMMYFUNCTION("""COMPUTED_VALUE"""),"Argues for degrowth and the need to avoid institutional collaboration favoring instead preparatory work to aid the degrowth transition when the current order inevitably collapses.")</f>
        <v>Argues for degrowth and the need to avoid institutional collaboration favoring instead preparatory work to aid the degrowth transition when the current order inevitably collapses.</v>
      </c>
      <c r="F44" s="1" t="str">
        <f>IFERROR(__xludf.DUMMYFUNCTION("""COMPUTED_VALUE"""),"Industrialised societies have far exceeded sustainable levels of production, consumption, resource use and ecological impact. It is not generally understood that this means solutions must involve De-growth to much simpler lifestyles and systems. This make"&amp;"s the goals and the means of the required transition unlike any those in any previous revolution. Industrialised, globalised, competitive, individualistic, acquisitive and market-driven society must be replaced by mostly small localized communities maximi"&amp;"sing self-sufficiency and self-government within cooperative communities embracing and frugal non-material values. The implications for the transition process are also radical. Successful strategy cannot focus on political action within existing decision "&amp;"making institutions, confronting the ruling class, taking state power or resorting to physical force. The required changes cannot be made unless they are widely seen to be desirable. Thus this is primarily a cultural revolution. Therefore a sound theory o"&amp;"f transition will be quite different to that assumed by conventional analysts, “green” activists, “populists” or those within the Marxist/socialist camp. A major element within the Simpler Way theory is the claim that official decision making institutions"&amp;" and procedures are incapable of bringing about the required changes. System collapse is therefore highly likely and desirable transition can only be achieved if sufficient commitment to The Simpler Way has previously been built.")</f>
        <v>Industrialised societies have far exceeded sustainable levels of production, consumption, resource use and ecological impact. It is not generally understood that this means solutions must involve De-growth to much simpler lifestyles and systems. This makes the goals and the means of the required transition unlike any those in any previous revolution. Industrialised, globalised, competitive, individualistic, acquisitive and market-driven society must be replaced by mostly small localized communities maximising self-sufficiency and self-government within cooperative communities embracing and frugal non-material values. The implications for the transition process are also radical. Successful strategy cannot focus on political action within existing decision making institutions, confronting the ruling class, taking state power or resorting to physical force. The required changes cannot be made unless they are widely seen to be desirable. Thus this is primarily a cultural revolution. Therefore a sound theory of transition will be quite different to that assumed by conventional analysts, “green” activists, “populists” or those within the Marxist/socialist camp. A major element within the Simpler Way theory is the claim that official decision making institutions and procedures are incapable of bringing about the required changes. System collapse is therefore highly likely and desirable transition can only be achieved if sufficient commitment to The Simpler Way has previously been built.</v>
      </c>
      <c r="G44" s="1" t="str">
        <f>IFERROR(__xludf.DUMMYFUNCTION("""COMPUTED_VALUE"""),"Jacobsen Oregon")</f>
        <v>Jacobsen Oregon</v>
      </c>
      <c r="H44" s="1" t="str">
        <f>IFERROR(__xludf.DUMMYFUNCTION("""COMPUTED_VALUE"""),"1 (due   )")</f>
        <v>1 (due   )</v>
      </c>
      <c r="I44" s="6" t="str">
        <f>IFERROR(__xludf.DUMMYFUNCTION("""COMPUTED_VALUE"""),"https://drive.google.com/open?id=1yzhHYmvAdjhl3PEK8eWQbdFSeBE7A2sP")</f>
        <v>https://drive.google.com/open?id=1yzhHYmvAdjhl3PEK8eWQbdFSeBE7A2sP</v>
      </c>
    </row>
    <row r="45">
      <c r="A45" s="1" t="str">
        <f>IFERROR(__xludf.DUMMYFUNCTION("""COMPUTED_VALUE"""),"Malm, Andreas (2020) To Halt Climate Change, We Need an Ecological Leninism")</f>
        <v>Malm, Andreas (2020) To Halt Climate Change, We Need an Ecological Leninism</v>
      </c>
      <c r="B45" s="1" t="str">
        <f>IFERROR(__xludf.DUMMYFUNCTION("""COMPUTED_VALUE"""),"Andreas Malm is associate senior lecturer in human ecology at Lund University. He is author of Fossil Capital: The Rise of Steam Power and the Roots of Global Warming and Corona, Climate, Chronic Emergency: War Communism in the Twenty-First Century.")</f>
        <v>Andreas Malm is associate senior lecturer in human ecology at Lund University. He is author of Fossil Capital: The Rise of Steam Power and the Roots of Global Warming and Corona, Climate, Chronic Emergency: War Communism in the Twenty-First Century.</v>
      </c>
      <c r="C45" s="1" t="str">
        <f>IFERROR(__xludf.DUMMYFUNCTION("""COMPUTED_VALUE"""),"MIXED")</f>
        <v>MIXED</v>
      </c>
      <c r="D45" s="1" t="str">
        <f>IFERROR(__xludf.DUMMYFUNCTION("""COMPUTED_VALUE"""),"Marxism K")</f>
        <v>Marxism K</v>
      </c>
      <c r="E45" s="1" t="str">
        <f>IFERROR(__xludf.DUMMYFUNCTION("""COMPUTED_VALUE"""),"Advocates for a state based control of ecology to solve climate change")</f>
        <v>Advocates for a state based control of ecology to solve climate change</v>
      </c>
      <c r="F45" s="1"/>
      <c r="G45" s="1" t="str">
        <f>IFERROR(__xludf.DUMMYFUNCTION("""COMPUTED_VALUE"""),"leyba")</f>
        <v>leyba</v>
      </c>
      <c r="H45" s="1" t="str">
        <f>IFERROR(__xludf.DUMMYFUNCTION("""COMPUTED_VALUE"""),"1 (due   )")</f>
        <v>1 (due   )</v>
      </c>
      <c r="I45" s="6" t="str">
        <f>IFERROR(__xludf.DUMMYFUNCTION("""COMPUTED_VALUE"""),"https://drive.google.com/open?id=1oGO9RNrFN3YItfsXSaEaY7Ilv8EU_A1X")</f>
        <v>https://drive.google.com/open?id=1oGO9RNrFN3YItfsXSaEaY7Ilv8EU_A1X</v>
      </c>
    </row>
    <row r="46">
      <c r="A46" s="1" t="str">
        <f>IFERROR(__xludf.DUMMYFUNCTION("""COMPUTED_VALUE"""),"Beaty, John (2024) The Impact of the Inflation Reduction Act on Energy Justice and The Impact of the Inflation Reduction Act on Energy Justice and Green Energy Development in Indian Country Green Energy Development in Indian Country")</f>
        <v>Beaty, John (2024) The Impact of the Inflation Reduction Act on Energy Justice and The Impact of the Inflation Reduction Act on Energy Justice and Green Energy Development in Indian Country Green Energy Development in Indian Country</v>
      </c>
      <c r="B46" s="1" t="str">
        <f>IFERROR(__xludf.DUMMYFUNCTION("""COMPUTED_VALUE"""),"J.D., The University of Iowa College of Law, 2023; B.A., Carleton College, 2019. John Beaty is a litigation associate at a large law firm in the Midwest where he works with energy industry and tribal clients.")</f>
        <v>J.D., The University of Iowa College of Law, 2023; B.A., Carleton College, 2019. John Beaty is a litigation associate at a large law firm in the Midwest where he works with energy industry and tribal clients.</v>
      </c>
      <c r="C46" s="1" t="str">
        <f>IFERROR(__xludf.DUMMYFUNCTION("""COMPUTED_VALUE"""),"MIXED")</f>
        <v>MIXED</v>
      </c>
      <c r="D46" s="1" t="str">
        <f>IFERROR(__xludf.DUMMYFUNCTION("""COMPUTED_VALUE"""),"Settler Colonialism K")</f>
        <v>Settler Colonialism K</v>
      </c>
      <c r="E46" s="1" t="str">
        <f>IFERROR(__xludf.DUMMYFUNCTION("""COMPUTED_VALUE"""),"Great article about energy infrastructure and native tribes")</f>
        <v>Great article about energy infrastructure and native tribes</v>
      </c>
      <c r="F46" s="1" t="str">
        <f>IFERROR(__xludf.DUMMYFUNCTION("""COMPUTED_VALUE"""),"In the past two decades, many American Indian Tribes have been experimenting with generating power from renewable sources on reservations. The growth of tribal green energy is a positive step towards energy justice, but current projects are hampered by in"&amp;"sufficient funding, jurisdictional confusion, lack of needed infrastructure, and a baroque permitting process that leaves necessary projects languishing. The recent omnibus spending bill, the Inflation Reduction Act (IRA) was trumped by Congress as the la"&amp;"rgest investment into tribal green energy ever. This Article critically analyzes the impact of the IRA on tribal energy. While the IRA represents a necessary move towards a more effective funding structure for tribal energy projects, it failed to address "&amp;"other barriers to tribal green energy development. The Article concludes by proposing steps Congress, States, and Tribes can take to improve upon the IRA.  ")</f>
        <v>In the past two decades, many American Indian Tribes have been experimenting with generating power from renewable sources on reservations. The growth of tribal green energy is a positive step towards energy justice, but current projects are hampered by insufficient funding, jurisdictional confusion, lack of needed infrastructure, and a baroque permitting process that leaves necessary projects languishing. The recent omnibus spending bill, the Inflation Reduction Act (IRA) was trumped by Congress as the largest investment into tribal green energy ever. This Article critically analyzes the impact of the IRA on tribal energy. While the IRA represents a necessary move towards a more effective funding structure for tribal energy projects, it failed to address other barriers to tribal green energy development. The Article concludes by proposing steps Congress, States, and Tribes can take to improve upon the IRA.  </v>
      </c>
      <c r="G46" s="1" t="str">
        <f>IFERROR(__xludf.DUMMYFUNCTION("""COMPUTED_VALUE"""),"Leyba")</f>
        <v>Leyba</v>
      </c>
      <c r="H46" s="1" t="str">
        <f>IFERROR(__xludf.DUMMYFUNCTION("""COMPUTED_VALUE"""),"1 (due   )")</f>
        <v>1 (due   )</v>
      </c>
      <c r="I46" s="6" t="str">
        <f>IFERROR(__xludf.DUMMYFUNCTION("""COMPUTED_VALUE"""),"https://drive.google.com/open?id=13LFQgg47KVT2pkWt3eb-8l_L358xM2jS")</f>
        <v>https://drive.google.com/open?id=13LFQgg47KVT2pkWt3eb-8l_L358xM2jS</v>
      </c>
    </row>
    <row r="47">
      <c r="A47" s="1" t="str">
        <f>IFERROR(__xludf.DUMMYFUNCTION("""COMPUTED_VALUE"""),"Tuck &amp; Yang (2012) Decolonization is not a metaphor ")</f>
        <v>Tuck &amp; Yang (2012) Decolonization is not a metaphor </v>
      </c>
      <c r="B47" s="1" t="str">
        <f>IFERROR(__xludf.DUMMYFUNCTION("""COMPUTED_VALUE"""),"Great authors on Decol. They speak for themselves")</f>
        <v>Great authors on Decol. They speak for themselves</v>
      </c>
      <c r="C47" s="1" t="str">
        <f>IFERROR(__xludf.DUMMYFUNCTION("""COMPUTED_VALUE"""),"NEGATIVE")</f>
        <v>NEGATIVE</v>
      </c>
      <c r="D47" s="1" t="str">
        <f>IFERROR(__xludf.DUMMYFUNCTION("""COMPUTED_VALUE"""),"Settler Colonialism")</f>
        <v>Settler Colonialism</v>
      </c>
      <c r="E47" s="1" t="str">
        <f>IFERROR(__xludf.DUMMYFUNCTION("""COMPUTED_VALUE"""),"Our goal in this article is to remind readers what is unsettling about decolonization. Decolonization brings about the repatriation of Indigenous land and life; it is not a metaphor for other things we want to do to improve our societies and schools")</f>
        <v>Our goal in this article is to remind readers what is unsettling about decolonization. Decolonization brings about the repatriation of Indigenous land and life; it is not a metaphor for other things we want to do to improve our societies and schools</v>
      </c>
      <c r="F47" s="1"/>
      <c r="G47" s="1" t="str">
        <f>IFERROR(__xludf.DUMMYFUNCTION("""COMPUTED_VALUE"""),"Leyba")</f>
        <v>Leyba</v>
      </c>
      <c r="H47" s="1" t="str">
        <f>IFERROR(__xludf.DUMMYFUNCTION("""COMPUTED_VALUE"""),"1 (due   )")</f>
        <v>1 (due   )</v>
      </c>
      <c r="I47" s="6" t="str">
        <f>IFERROR(__xludf.DUMMYFUNCTION("""COMPUTED_VALUE"""),"https://drive.google.com/open?id=1m1bkcCwex77sTJfqkS264CaHJPikYNSx")</f>
        <v>https://drive.google.com/open?id=1m1bkcCwex77sTJfqkS264CaHJPikYNSx</v>
      </c>
    </row>
    <row r="48">
      <c r="A48" s="1" t="str">
        <f>IFERROR(__xludf.DUMMYFUNCTION("""COMPUTED_VALUE"""),"Noisecat, Julian Brave, 2017) When the Indians Defeat the Cowboys")</f>
        <v>Noisecat, Julian Brave, 2017) When the Indians Defeat the Cowboys</v>
      </c>
      <c r="B48" s="1" t="str">
        <f>IFERROR(__xludf.DUMMYFUNCTION("""COMPUTED_VALUE"""),"Julian Brave NoiseCat is an enrolled member of the Canim Lake Band Tsq'escen in British Columbia and a graduate of Columbia University and the University of Oxford.")</f>
        <v>Julian Brave NoiseCat is an enrolled member of the Canim Lake Band Tsq'escen in British Columbia and a graduate of Columbia University and the University of Oxford.</v>
      </c>
      <c r="C48" s="1" t="str">
        <f>IFERROR(__xludf.DUMMYFUNCTION("""COMPUTED_VALUE"""),"AFFIRMATIVE")</f>
        <v>AFFIRMATIVE</v>
      </c>
      <c r="D48" s="1" t="str">
        <f>IFERROR(__xludf.DUMMYFUNCTION("""COMPUTED_VALUE"""),"Settler Colonialism K")</f>
        <v>Settler Colonialism K</v>
      </c>
      <c r="E48" s="1" t="str">
        <f>IFERROR(__xludf.DUMMYFUNCTION("""COMPUTED_VALUE"""),"Great answer to the K about engaging in legalism and systems")</f>
        <v>Great answer to the K about engaging in legalism and systems</v>
      </c>
      <c r="F48" s="1"/>
      <c r="G48" s="1" t="str">
        <f>IFERROR(__xludf.DUMMYFUNCTION("""COMPUTED_VALUE"""),"Leyba")</f>
        <v>Leyba</v>
      </c>
      <c r="H48" s="1" t="str">
        <f>IFERROR(__xludf.DUMMYFUNCTION("""COMPUTED_VALUE"""),"1 (due   )")</f>
        <v>1 (due   )</v>
      </c>
      <c r="I48" s="6" t="str">
        <f>IFERROR(__xludf.DUMMYFUNCTION("""COMPUTED_VALUE"""),"https://drive.google.com/open?id=1Rpi5GCR3_4IuF2cGCXBNTciIatw-qjgY")</f>
        <v>https://drive.google.com/open?id=1Rpi5GCR3_4IuF2cGCXBNTciIatw-qjgY</v>
      </c>
    </row>
    <row r="49">
      <c r="A49" s="1" t="str">
        <f>IFERROR(__xludf.DUMMYFUNCTION("""COMPUTED_VALUE"""),"Svirsky, Marcelo 2016, Resistance is a structure not an event")</f>
        <v>Svirsky, Marcelo 2016, Resistance is a structure not an event</v>
      </c>
      <c r="B49" s="1" t="str">
        <f>IFERROR(__xludf.DUMMYFUNCTION("""COMPUTED_VALUE"""),"School of Humanities and Social Inquiry, University of Wollongong, Wollongong, NSW, Australia")</f>
        <v>School of Humanities and Social Inquiry, University of Wollongong, Wollongong, NSW, Australia</v>
      </c>
      <c r="C49" s="1" t="str">
        <f>IFERROR(__xludf.DUMMYFUNCTION("""COMPUTED_VALUE"""),"AFFIRMATIVE")</f>
        <v>AFFIRMATIVE</v>
      </c>
      <c r="D49" s="1" t="str">
        <f>IFERROR(__xludf.DUMMYFUNCTION("""COMPUTED_VALUE"""),"Settler Colonialism K")</f>
        <v>Settler Colonialism K</v>
      </c>
      <c r="E49" s="1" t="str">
        <f>IFERROR(__xludf.DUMMYFUNCTION("""COMPUTED_VALUE"""),"Answer to Tuck and Yang")</f>
        <v>Answer to Tuck and Yang</v>
      </c>
      <c r="F49" s="1" t="str">
        <f>IFERROR(__xludf.DUMMYFUNCTION("""COMPUTED_VALUE"""),"By looking into the case of Palestine, this article has two goals: the
first is to provide philosophical scaffolding to the theme of
resistance in settler colonial theory, and in so doing to argue that
resistance need to be regarded as part of the structu"&amp;"re in settler
social formations. Secondly, the article rereads ‘the logic of
elimination’ upon which settler colonialism is founded in order to
suggest that as a settler colonial project Zionism historically
evolved via a process of ‘double elimination’ –"&amp;" of indigenous life
and of shared life. The aim of this article is then to fold the
second conclusion into the first: alongside with indigenous
resistance, shared life need be conceived as part of the structural
struggle against settler colonialism. The a"&amp;"rticle has three sections.
In the first section, the state of the art in the field of settler
colonial studies is presented in order to identify strengths and
weaknesses. The second section offers a conceptualisation of the
idea/practice of resistance by "&amp;"drawing from Gilles Deleuze and
Félix Guattari’s works. The last section reframes the logic of
elimination concluding with a political vision that expands on the
notion of resistance.")</f>
        <v>By looking into the case of Palestine, this article has two goals: the
first is to provide philosophical scaffolding to the theme of
resistance in settler colonial theory, and in so doing to argue that
resistance need to be regarded as part of the structure in settler
social formations. Secondly, the article rereads ‘the logic of
elimination’ upon which settler colonialism is founded in order to
suggest that as a settler colonial project Zionism historically
evolved via a process of ‘double elimination’ – of indigenous life
and of shared life. The aim of this article is then to fold the
second conclusion into the first: alongside with indigenous
resistance, shared life need be conceived as part of the structural
struggle against settler colonialism. The article has three sections.
In the first section, the state of the art in the field of settler
colonial studies is presented in order to identify strengths and
weaknesses. The second section offers a conceptualisation of the
idea/practice of resistance by drawing from Gilles Deleuze and
Félix Guattari’s works. The last section reframes the logic of
elimination concluding with a political vision that expands on the
notion of resistance.</v>
      </c>
      <c r="G49" s="1" t="str">
        <f>IFERROR(__xludf.DUMMYFUNCTION("""COMPUTED_VALUE"""),"Leyba")</f>
        <v>Leyba</v>
      </c>
      <c r="H49" s="1" t="str">
        <f>IFERROR(__xludf.DUMMYFUNCTION("""COMPUTED_VALUE"""),"1 (due   )")</f>
        <v>1 (due   )</v>
      </c>
      <c r="I49" s="6" t="str">
        <f>IFERROR(__xludf.DUMMYFUNCTION("""COMPUTED_VALUE"""),"https://drive.google.com/open?id=1FMrC_V0HjnR8iN850vElSXT2AMKoT-rn")</f>
        <v>https://drive.google.com/open?id=1FMrC_V0HjnR8iN850vElSXT2AMKoT-rn</v>
      </c>
    </row>
    <row r="50">
      <c r="A50" s="1" t="str">
        <f>IFERROR(__xludf.DUMMYFUNCTION("""COMPUTED_VALUE"""),"Gunderson, R., Stuart, D., &amp; Peterson, B.(2018) Ideological obstacles to effective climate policy: The greening of markets, technology, and growth. Capital &amp; Class, 42(1), 133-160")</f>
        <v>Gunderson, R., Stuart, D., &amp; Peterson, B.(2018) Ideological obstacles to effective climate policy: The greening of markets, technology, and growth. Capital &amp; Class, 42(1), 133-160</v>
      </c>
      <c r="B50" s="1" t="str">
        <f>IFERROR(__xludf.DUMMYFUNCTION("""COMPUTED_VALUE"""),"Ryan Gunderson Miami University, USA; Stuart Northern Arizona University, USA; Petersen Northern Arizona University, USA")</f>
        <v>Ryan Gunderson Miami University, USA; Stuart Northern Arizona University, USA; Petersen Northern Arizona University, USA</v>
      </c>
      <c r="C50" s="1" t="str">
        <f>IFERROR(__xludf.DUMMYFUNCTION("""COMPUTED_VALUE"""),"NEGATIVE")</f>
        <v>NEGATIVE</v>
      </c>
      <c r="D50" s="1" t="str">
        <f>IFERROR(__xludf.DUMMYFUNCTION("""COMPUTED_VALUE"""),"Degrowth")</f>
        <v>Degrowth</v>
      </c>
      <c r="E50" s="1" t="str">
        <f>IFERROR(__xludf.DUMMYFUNCTION("""COMPUTED_VALUE"""),"Degrowth criticism links. Argues that greening markets, technological optimism, and faith in growth all produce ideological effects that preclude or obscure both the need for and opportunities for socioecological transformation")</f>
        <v>Degrowth criticism links. Argues that greening markets, technological optimism, and faith in growth all produce ideological effects that preclude or obscure both the need for and opportunities for socioecological transformation</v>
      </c>
      <c r="F50" s="1" t="str">
        <f>IFERROR(__xludf.DUMMYFUNCTION("""COMPUTED_VALUE"""),"In light of the 2015 Paris Climate Agreement, this project synthesizes and
advances critiques of the possibility of a sustainable capitalism by adopting
an explicit ‘negative’ theory of ideology, understood as ideas that conceal
contradictions through the"&amp;" reification and/or legitimation of the existing social
order. Prominent climate change policy frameworks – the ‘greening’ of markets
(market-corrective measures), technology (alternative energy, energy efficiency,
and geoengineering), and growth (the gre"&amp;"en growth strategy) – are shown to
conceal one or both of the two systemic socio-ecological contradictions inherent
in the current social formation: (1) a contradiction between capital’s growthdependence
and the latter’s degrading impact on the climate (t"&amp;"he ‘capital-climate
contradiction’) and (2) a contradiction between the potential of using technological
infrastructure that aids in emissions reductions and the institutionalized social
relations that obstruct this technical potential (the ‘technical pot"&amp;"ential-productive
relations contradiction’). Attempts to reform the very techniques and institutions
that brought about the climate crisis will remain ineffective and reproduce the social order that results in climate change. After proposing a way in whic"&amp;"h
societies might move out of the ideological trappings of green markets, technology,
and growth, two alternatives are proposed: economic degrowth coupled with
Marcuse’s conception of a ‘new technology’.")</f>
        <v>In light of the 2015 Paris Climate Agreement, this project synthesizes and
advances critiques of the possibility of a sustainable capitalism by adopting
an explicit ‘negative’ theory of ideology, understood as ideas that conceal
contradictions through the reification and/or legitimation of the existing social
order. Prominent climate change policy frameworks – the ‘greening’ of markets
(market-corrective measures), technology (alternative energy, energy efficiency,
and geoengineering), and growth (the green growth strategy) – are shown to
conceal one or both of the two systemic socio-ecological contradictions inherent
in the current social formation: (1) a contradiction between capital’s growthdependence
and the latter’s degrading impact on the climate (the ‘capital-climate
contradiction’) and (2) a contradiction between the potential of using technological
infrastructure that aids in emissions reductions and the institutionalized social
relations that obstruct this technical potential (the ‘technical potential-productive
relations contradiction’). Attempts to reform the very techniques and institutions
that brought about the climate crisis will remain ineffective and reproduce the social order that results in climate change. After proposing a way in which
societies might move out of the ideological trappings of green markets, technology,
and growth, two alternatives are proposed: economic degrowth coupled with
Marcuse’s conception of a ‘new technology’.</v>
      </c>
      <c r="G50" s="1" t="str">
        <f>IFERROR(__xludf.DUMMYFUNCTION("""COMPUTED_VALUE"""),"Jacobsen Oregon")</f>
        <v>Jacobsen Oregon</v>
      </c>
      <c r="H50" s="1" t="str">
        <f>IFERROR(__xludf.DUMMYFUNCTION("""COMPUTED_VALUE"""),"1 (due   )")</f>
        <v>1 (due   )</v>
      </c>
      <c r="I50" s="6" t="str">
        <f>IFERROR(__xludf.DUMMYFUNCTION("""COMPUTED_VALUE"""),"https://drive.google.com/open?id=1CNkSlcD87gemBBI7x1-PUYcfAA2sQbIT")</f>
        <v>https://drive.google.com/open?id=1CNkSlcD87gemBBI7x1-PUYcfAA2sQbIT</v>
      </c>
    </row>
    <row r="51">
      <c r="A51" s="1" t="str">
        <f>IFERROR(__xludf.DUMMYFUNCTION("""COMPUTED_VALUE"""),"Jackson, T., Hickel, J. &amp; Kallis, G. (2024). Confronting the dilemma of growth. A response to Warlenius (2023). Ecological Economics, 220(2024), 108089")</f>
        <v>Jackson, T., Hickel, J. &amp; Kallis, G. (2024). Confronting the dilemma of growth. A response to Warlenius (2023). Ecological Economics, 220(2024), 108089</v>
      </c>
      <c r="B51" s="1" t="str">
        <f>IFERROR(__xludf.DUMMYFUNCTION("""COMPUTED_VALUE"""),"Jackson @Centre for the understanding of Sustainable Prosperity, University of Surrey, UK; Hickel &amp; Kallis @Institute of Environmental Science and Technology (ICTA-UAB) and Department of Anthropology, Autonomous University of Barcelona, Spain")</f>
        <v>Jackson @Centre for the understanding of Sustainable Prosperity, University of Surrey, UK; Hickel &amp; Kallis @Institute of Environmental Science and Technology (ICTA-UAB) and Department of Anthropology, Autonomous University of Barcelona, Spain</v>
      </c>
      <c r="C51" s="1" t="str">
        <f>IFERROR(__xludf.DUMMYFUNCTION("""COMPUTED_VALUE"""),"NEGATIVE")</f>
        <v>NEGATIVE</v>
      </c>
      <c r="D51" s="1" t="str">
        <f>IFERROR(__xludf.DUMMYFUNCTION("""COMPUTED_VALUE"""),"Degrowth")</f>
        <v>Degrowth</v>
      </c>
      <c r="E51" s="1" t="str">
        <f>IFERROR(__xludf.DUMMYFUNCTION("""COMPUTED_VALUE"""),"Responds to Warlenius (2023) criticism of degrowth analysis of decoupling and reasserts that degrowth is not economic collapse and that growth cannot produce decoupling.")</f>
        <v>Responds to Warlenius (2023) criticism of degrowth analysis of decoupling and reasserts that degrowth is not economic collapse and that growth cannot produce decoupling.</v>
      </c>
      <c r="F51" s="1" t="str">
        <f>IFERROR(__xludf.DUMMYFUNCTION("""COMPUTED_VALUE"""),"This commentary responds to a recent article in this journal (Warlenius, 2023) purporting to identify the ‘limits to degrowth’. We first clarify and set in context the tensions between growth rates and decoupling rates on which the argument is based. In p"&amp;"articular, we show how failing to achieve sufficient decoupling appears to leave society torn between missing our climate targets and crashing our economies. This dilemma highlights the tough choices inherent in the climate transition. But it does not imp"&amp;"ly that critics of growth endorse economic collapse. On the contrary, the intention of postgrowth scholars is clearly to prevent this collapse by offering structural and social reforms, alongside technological options, as a way of meeting climate targets."&amp;" Specifically we dispute the claim that growth is the best way to achieve high rates of decoupling. Counter to this, we present several mechanisms through which a growth-critical approach may be better aligned with the climate transition than an economic "&amp;"ideology founded on ‘growth at all costs’. ")</f>
        <v>This commentary responds to a recent article in this journal (Warlenius, 2023) purporting to identify the ‘limits to degrowth’. We first clarify and set in context the tensions between growth rates and decoupling rates on which the argument is based. In particular, we show how failing to achieve sufficient decoupling appears to leave society torn between missing our climate targets and crashing our economies. This dilemma highlights the tough choices inherent in the climate transition. But it does not imply that critics of growth endorse economic collapse. On the contrary, the intention of postgrowth scholars is clearly to prevent this collapse by offering structural and social reforms, alongside technological options, as a way of meeting climate targets. Specifically we dispute the claim that growth is the best way to achieve high rates of decoupling. Counter to this, we present several mechanisms through which a growth-critical approach may be better aligned with the climate transition than an economic ideology founded on ‘growth at all costs’. </v>
      </c>
      <c r="G51" s="1" t="str">
        <f>IFERROR(__xludf.DUMMYFUNCTION("""COMPUTED_VALUE"""),"Jacobsen Oregon")</f>
        <v>Jacobsen Oregon</v>
      </c>
      <c r="H51" s="1" t="str">
        <f>IFERROR(__xludf.DUMMYFUNCTION("""COMPUTED_VALUE"""),"1 (due   )")</f>
        <v>1 (due   )</v>
      </c>
      <c r="I51" s="6" t="str">
        <f>IFERROR(__xludf.DUMMYFUNCTION("""COMPUTED_VALUE"""),"https://drive.google.com/open?id=1AqAAtm-sbabrjPQbuGyTcqCfJS6YdOXk")</f>
        <v>https://drive.google.com/open?id=1AqAAtm-sbabrjPQbuGyTcqCfJS6YdOXk</v>
      </c>
    </row>
    <row r="52">
      <c r="A52" s="1" t="str">
        <f>IFERROR(__xludf.DUMMYFUNCTION("""COMPUTED_VALUE"""),"Gürsan, C. &amp; de Gooyert, V. (2021). The systemic impact of a transition fuel: Does natural gas help or hinder the energy transition? Renewable and Sustainable Energy Reviews, 138(2021), 110552")</f>
        <v>Gürsan, C. &amp; de Gooyert, V. (2021). The systemic impact of a transition fuel: Does natural gas help or hinder the energy transition? Renewable and Sustainable Energy Reviews, 138(2021), 110552</v>
      </c>
      <c r="B52" s="1" t="str">
        <f>IFERROR(__xludf.DUMMYFUNCTION("""COMPUTED_VALUE"""),"Institute for Management Research, Netherlands")</f>
        <v>Institute for Management Research, Netherlands</v>
      </c>
      <c r="C52" s="1" t="str">
        <f>IFERROR(__xludf.DUMMYFUNCTION("""COMPUTED_VALUE"""),"MIXED")</f>
        <v>MIXED</v>
      </c>
      <c r="D52" s="1" t="str">
        <f>IFERROR(__xludf.DUMMYFUNCTION("""COMPUTED_VALUE"""),"Natural gas DA to subsidies aff")</f>
        <v>Natural gas DA to subsidies aff</v>
      </c>
      <c r="E52" s="1" t="str">
        <f>IFERROR(__xludf.DUMMYFUNCTION("""COMPUTED_VALUE"""),"Describes the conditions under which natural gas can and cannot serve as a bridge fuel to a renewables future")</f>
        <v>Describes the conditions under which natural gas can and cannot serve as a bridge fuel to a renewables future</v>
      </c>
      <c r="F52" s="1" t="str">
        <f>IFERROR(__xludf.DUMMYFUNCTION("""COMPUTED_VALUE"""),"In the Paris Agreement, many nations set ambitious global goals to stabilize and reduce carbon emissions to mitigate climate change. A large share of these emissions is caused by electricity production. Scientists have been debating the viability of using"&amp;" natural gas as a transition fuel while renewable energies mature technologically and economically. Although natural gas might help the energy transition by reducing emissions compared to coal, there are other long-term implications of investing in natura"&amp;"l gas which can work against reaching climate goals. One concern is that investments in natural gas might crowd out investments in renewable alternatives. This research reviews the literature on the role of natural gas in reducing carbon emissions to miti"&amp;"gate climate change and to bridge between coal and renewable technologies. We advance the debate by laying out how various positive and negative effects of natural gas interrelate. Our research warns that natural gas’ negative delayed and global effects c"&amp;"an easily outweigh the positive immediate and local effects unless precautions are taken. Existing studies agree that natural gas helps avoid greenhouse gas emissions in the short term, while unintended long term effects might also hinder the transition i"&amp;"nto renewables. Our review helps to inform the policymaking process by reviewing the systemic effects of using natural gas as a transition fuel and suggests policy actions to avoid the negative long term consequences")</f>
        <v>In the Paris Agreement, many nations set ambitious global goals to stabilize and reduce carbon emissions to mitigate climate change. A large share of these emissions is caused by electricity production. Scientists have been debating the viability of using natural gas as a transition fuel while renewable energies mature technologically and economically. Although natural gas might help the energy transition by reducing emissions compared to coal, there are other long-term implications of investing in natural gas which can work against reaching climate goals. One concern is that investments in natural gas might crowd out investments in renewable alternatives. This research reviews the literature on the role of natural gas in reducing carbon emissions to mitigate climate change and to bridge between coal and renewable technologies. We advance the debate by laying out how various positive and negative effects of natural gas interrelate. Our research warns that natural gas’ negative delayed and global effects can easily outweigh the positive immediate and local effects unless precautions are taken. Existing studies agree that natural gas helps avoid greenhouse gas emissions in the short term, while unintended long term effects might also hinder the transition into renewables. Our review helps to inform the policymaking process by reviewing the systemic effects of using natural gas as a transition fuel and suggests policy actions to avoid the negative long term consequences</v>
      </c>
      <c r="G52" s="1" t="str">
        <f>IFERROR(__xludf.DUMMYFUNCTION("""COMPUTED_VALUE"""),"Jacobsen Oregon")</f>
        <v>Jacobsen Oregon</v>
      </c>
      <c r="H52" s="1" t="str">
        <f>IFERROR(__xludf.DUMMYFUNCTION("""COMPUTED_VALUE"""),"1 (due   )")</f>
        <v>1 (due   )</v>
      </c>
      <c r="I52" s="6" t="str">
        <f>IFERROR(__xludf.DUMMYFUNCTION("""COMPUTED_VALUE"""),"https://drive.google.com/open?id=1yKJjqYXEIwH89MZbA0T_CfBVJ1y8AjIz")</f>
        <v>https://drive.google.com/open?id=1yKJjqYXEIwH89MZbA0T_CfBVJ1y8AjIz</v>
      </c>
    </row>
    <row r="53">
      <c r="A53" s="1" t="str">
        <f>IFERROR(__xludf.DUMMYFUNCTION("""COMPUTED_VALUE"""),"Erickson, P &amp; Achakulwist, P. (2021). How subsidies aided the US shale oil and gas boom, SEI Report, June 2021")</f>
        <v>Erickson, P &amp; Achakulwist, P. (2021). How subsidies aided the US shale oil and gas boom, SEI Report, June 2021</v>
      </c>
      <c r="B53" s="1" t="str">
        <f>IFERROR(__xludf.DUMMYFUNCTION("""COMPUTED_VALUE"""),"Stockholm Environment Institute")</f>
        <v>Stockholm Environment Institute</v>
      </c>
      <c r="C53" s="1" t="str">
        <f>IFERROR(__xludf.DUMMYFUNCTION("""COMPUTED_VALUE"""),"NEGATIVE")</f>
        <v>NEGATIVE</v>
      </c>
      <c r="D53" s="1" t="str">
        <f>IFERROR(__xludf.DUMMYFUNCTION("""COMPUTED_VALUE"""),"Natural gas DA to subsidies aff")</f>
        <v>Natural gas DA to subsidies aff</v>
      </c>
      <c r="E53" s="1" t="str">
        <f>IFERROR(__xludf.DUMMYFUNCTION("""COMPUTED_VALUE"""),"Subsidies created the fracking natural gas boom")</f>
        <v>Subsidies created the fracking natural gas boom</v>
      </c>
      <c r="F53" s="1" t="str">
        <f>IFERROR(__xludf.DUMMYFUNCTION("""COMPUTED_VALUE"""),"• This study provides one of the first estimates of the extent to which federal government policy– in the form of three tax incentives – increased the expected value of investments in new, unconventional oil and gas developments in the US over the last tw"&amp;"o decades. Expected value was calculated as the estimated net present value at the time of the investment decision.
• Two tax incentives alone – the expensing of intangible drilling costs and percentage depletion provisions – increased the expected value "&amp;"of new oil and gas projects by billions of dollars in most years, and over $20 billion in some high-price years. This translates to a median increase in expected value of $4 per barrel of oil equivalent or more across projects in such high-price years (20"&amp;"08 and 2010-2014).
• These two subsidies added substantial value to new unconventional oil and gas projects
considered in the Bakken formation in 2005-2006, the Appalachian and Haynesville regions in 2008, the Eagle Ford play in 2009-2010, and the Permian"&amp;" basin in 2011-2015, thereby helping to spur and sustain the US shale boom over the last two decades.")</f>
        <v>• This study provides one of the first estimates of the extent to which federal government policy– in the form of three tax incentives – increased the expected value of investments in new, unconventional oil and gas developments in the US over the last two decades. Expected value was calculated as the estimated net present value at the time of the investment decision.
• Two tax incentives alone – the expensing of intangible drilling costs and percentage depletion provisions – increased the expected value of new oil and gas projects by billions of dollars in most years, and over $20 billion in some high-price years. This translates to a median increase in expected value of $4 per barrel of oil equivalent or more across projects in such high-price years (2008 and 2010-2014).
• These two subsidies added substantial value to new unconventional oil and gas projects
considered in the Bakken formation in 2005-2006, the Appalachian and Haynesville regions in 2008, the Eagle Ford play in 2009-2010, and the Permian basin in 2011-2015, thereby helping to spur and sustain the US shale boom over the last two decades.</v>
      </c>
      <c r="G53" s="1" t="str">
        <f>IFERROR(__xludf.DUMMYFUNCTION("""COMPUTED_VALUE"""),"Jacobsen Oregon")</f>
        <v>Jacobsen Oregon</v>
      </c>
      <c r="H53" s="1" t="str">
        <f>IFERROR(__xludf.DUMMYFUNCTION("""COMPUTED_VALUE"""),"1 (due   )")</f>
        <v>1 (due   )</v>
      </c>
      <c r="I53" s="6" t="str">
        <f>IFERROR(__xludf.DUMMYFUNCTION("""COMPUTED_VALUE"""),"https://drive.google.com/open?id=1h-gdW4z8B2Ae41RBKi6SXJwJK8nYpARF")</f>
        <v>https://drive.google.com/open?id=1h-gdW4z8B2Ae41RBKi6SXJwJK8nYpARF</v>
      </c>
    </row>
    <row r="54">
      <c r="A54" s="1" t="str">
        <f>IFERROR(__xludf.DUMMYFUNCTION("""COMPUTED_VALUE"""),"Mcgillis, J. (2019). The case against a carbon tax. Institute for Energy Research Policy Paper.")</f>
        <v>Mcgillis, J. (2019). The case against a carbon tax. Institute for Energy Research Policy Paper.</v>
      </c>
      <c r="B54" s="1" t="str">
        <f>IFERROR(__xludf.DUMMYFUNCTION("""COMPUTED_VALUE"""),"Deputy Director of Research, Institute for Energy Research")</f>
        <v>Deputy Director of Research, Institute for Energy Research</v>
      </c>
      <c r="C54" s="1" t="str">
        <f>IFERROR(__xludf.DUMMYFUNCTION("""COMPUTED_VALUE"""),"NEGATIVE")</f>
        <v>NEGATIVE</v>
      </c>
      <c r="D54" s="1" t="str">
        <f>IFERROR(__xludf.DUMMYFUNCTION("""COMPUTED_VALUE"""),"Carbon Tax")</f>
        <v>Carbon Tax</v>
      </c>
      <c r="E54" s="1" t="str">
        <f>IFERROR(__xludf.DUMMYFUNCTION("""COMPUTED_VALUE"""),"Right-leaning criticism of carbon taxes--economic and effectiveness focus")</f>
        <v>Right-leaning criticism of carbon taxes--economic and effectiveness focus</v>
      </c>
      <c r="F54" s="1" t="str">
        <f>IFERROR(__xludf.DUMMYFUNCTION("""COMPUTED_VALUE"""),"n/a")</f>
        <v>n/a</v>
      </c>
      <c r="G54" s="1" t="str">
        <f>IFERROR(__xludf.DUMMYFUNCTION("""COMPUTED_VALUE"""),"Cram Helwich, UMN")</f>
        <v>Cram Helwich, UMN</v>
      </c>
      <c r="H54" s="1" t="str">
        <f>IFERROR(__xludf.DUMMYFUNCTION("""COMPUTED_VALUE"""),"1 (due   )")</f>
        <v>1 (due   )</v>
      </c>
      <c r="I54" s="6" t="str">
        <f>IFERROR(__xludf.DUMMYFUNCTION("""COMPUTED_VALUE"""),"https://drive.google.com/open?id=1DHhsfMIueqHMMedxtLOFTRuBNE56A2rD")</f>
        <v>https://drive.google.com/open?id=1DHhsfMIueqHMMedxtLOFTRuBNE56A2rD</v>
      </c>
    </row>
    <row r="55">
      <c r="A55" s="1" t="str">
        <f>IFERROR(__xludf.DUMMYFUNCTION("""COMPUTED_VALUE"""),"Jason Hickel &amp; Giorgos Kallis (2019): Is Green Growth Possible?, New Political Economy, DOI: 10.1080/13563467.2019.1598964")</f>
        <v>Jason Hickel &amp; Giorgos Kallis (2019): Is Green Growth Possible?, New Political Economy, DOI: 10.1080/13563467.2019.1598964</v>
      </c>
      <c r="B55" s="1" t="str">
        <f>IFERROR(__xludf.DUMMYFUNCTION("""COMPUTED_VALUE"""),"Jason Hickel is an anthropologist and professor at the Autonomous University of Barcelona. Giorgos Kallis is an ecological economist from Greece. He is an ICREA Research Professor at ICTA - Universitat Autònoma de Barcelona, where he teaches political eco"&amp;"logy. He is one of the principal advocates of the theory of degrowth.")</f>
        <v>Jason Hickel is an anthropologist and professor at the Autonomous University of Barcelona. Giorgos Kallis is an ecological economist from Greece. He is an ICREA Research Professor at ICTA - Universitat Autònoma de Barcelona, where he teaches political ecology. He is one of the principal advocates of the theory of degrowth.</v>
      </c>
      <c r="C55" s="1" t="str">
        <f>IFERROR(__xludf.DUMMYFUNCTION("""COMPUTED_VALUE"""),"NEGATIVE")</f>
        <v>NEGATIVE</v>
      </c>
      <c r="D55" s="1" t="str">
        <f>IFERROR(__xludf.DUMMYFUNCTION("""COMPUTED_VALUE"""),"develops the carbon bubble disadvantage and neg grounds that lowering FF use does not lead to sufficient decarbonization")</f>
        <v>develops the carbon bubble disadvantage and neg grounds that lowering FF use does not lead to sufficient decarbonization</v>
      </c>
      <c r="E55" s="1" t="str">
        <f>IFERROR(__xludf.DUMMYFUNCTION("""COMPUTED_VALUE"""),"This article develops the idea that green growth is likely not possible given the inability to decouple GDP growth from resource use and carbon emissions. It also claims that even if decoupling was possible, it wouldn't happen fast enough for there to be "&amp;"prevention of global warming over 2 degrees celsius. It gives alternative strategies such as specific degrowth plans and other theoretical solutions. ")</f>
        <v>This article develops the idea that green growth is likely not possible given the inability to decouple GDP growth from resource use and carbon emissions. It also claims that even if decoupling was possible, it wouldn't happen fast enough for there to be prevention of global warming over 2 degrees celsius. It gives alternative strategies such as specific degrowth plans and other theoretical solutions. </v>
      </c>
      <c r="F55" s="1" t="str">
        <f>IFERROR(__xludf.DUMMYFUNCTION("""COMPUTED_VALUE"""),"The notion of green growth has emerged as a dominant policy response to climate change and ecological breakdown. Green growth theory asserts that continued economic expansion is compatible with our planet’s ecology, as technological change and substitutio"&amp;"n will allow us to absolutely decouple GDP growth from resource use and carbon emissions. This claim is now assumed in national and international policy, including in the Sustainable Development Goals. But empirical evidence on resource use and carbon emi"&amp;"ssions does not support green growth theory. Examining relevant studies on historical trends and model-based projections, we find that: (1) there is no empirical evidence that absolute decoupling from resource use can be achieved on a global scale against"&amp;" a background of continued economic growth, and (2) absolute decoupling from carbon emissions is highly unlikely to be achieved at a rate rapid enough to prevent global warming over 1.5°C or 2°C, even under optimistic policy conditions. We conclude that g"&amp;"reen growth is likely to be a misguided objective, and that policymakers need to look toward alternative strategies.")</f>
        <v>The notion of green growth has emerged as a dominant policy response to climate change and ecological breakdown. Green growth theory asserts that continued economic expansion is compatible with our planet’s ecology, as technological change and substitution will allow us to absolutely decouple GDP growth from resource use and carbon emissions. This claim is now assumed in national and international policy, including in the Sustainable Development Goals. But empirical evidence on resource use and carbon emissions does not support green growth theory. Examining relevant studies on historical trends and model-based projections, we find that: (1) there is no empirical evidence that absolute decoupling from resource use can be achieved on a global scale against a background of continued economic growth, and (2) absolute decoupling from carbon emissions is highly unlikely to be achieved at a rate rapid enough to prevent global warming over 1.5°C or 2°C, even under optimistic policy conditions. We conclude that green growth is likely to be a misguided objective, and that policymakers need to look toward alternative strategies.</v>
      </c>
      <c r="G55" s="1" t="str">
        <f>IFERROR(__xludf.DUMMYFUNCTION("""COMPUTED_VALUE"""),"Casey WWU")</f>
        <v>Casey WWU</v>
      </c>
      <c r="H55" s="1" t="str">
        <f>IFERROR(__xludf.DUMMYFUNCTION("""COMPUTED_VALUE"""),"Wave 2 (due Nov. 8)")</f>
        <v>Wave 2 (due Nov. 8)</v>
      </c>
      <c r="I55" s="6" t="str">
        <f>IFERROR(__xludf.DUMMYFUNCTION("""COMPUTED_VALUE"""),"https://drive.google.com/open?id=1ZSIGTTtzb67cWaIc5_ekIf-7v_3uRBj3")</f>
        <v>https://drive.google.com/open?id=1ZSIGTTtzb67cWaIc5_ekIf-7v_3uRBj3</v>
      </c>
    </row>
    <row r="56">
      <c r="A56" s="1" t="str">
        <f>IFERROR(__xludf.DUMMYFUNCTION("""COMPUTED_VALUE"""),"Krane, J., &amp; Idel, R. (2021). More transitions, less risk: How renewable energy reduces risks from mining, trade and political dependence. Energy Research &amp; Social Science, 82, 102311")</f>
        <v>Krane, J., &amp; Idel, R. (2021). More transitions, less risk: How renewable energy reduces risks from mining, trade and political dependence. Energy Research &amp; Social Science, 82, 102311</v>
      </c>
      <c r="B56" s="1" t="str">
        <f>IFERROR(__xludf.DUMMYFUNCTION("""COMPUTED_VALUE"""),"Baker Institute Center for Energy Studies, Houston, Texas, USA")</f>
        <v>Baker Institute Center for Energy Studies, Houston, Texas, USA</v>
      </c>
      <c r="C56" s="1" t="str">
        <f>IFERROR(__xludf.DUMMYFUNCTION("""COMPUTED_VALUE"""),"AFFIRMATIVE")</f>
        <v>AFFIRMATIVE</v>
      </c>
      <c r="D56" s="1" t="str">
        <f>IFERROR(__xludf.DUMMYFUNCTION("""COMPUTED_VALUE"""),"affirmative answer to a dirty green mining disadvantage")</f>
        <v>affirmative answer to a dirty green mining disadvantage</v>
      </c>
      <c r="E56" s="1" t="str">
        <f>IFERROR(__xludf.DUMMYFUNCTION("""COMPUTED_VALUE"""),"This article argues that a green energy transition will drastically reduce mining and material requirements. It also makes an argument for the relative energy efficiency of mining for renewables versus mining for fossil fuels.")</f>
        <v>This article argues that a green energy transition will drastically reduce mining and material requirements. It also makes an argument for the relative energy efficiency of mining for renewables versus mining for fossil fuels.</v>
      </c>
      <c r="F56" s="1" t="str">
        <f>IFERROR(__xludf.DUMMYFUNCTION("""COMPUTED_VALUE"""),"The transition from fossil fuels to renewable energy systems involves enormous decreases in materials, mining, and political risk. Since renewable systems need no fuel, they depend on trade only for the acquisition of materials and components during const"&amp;"ruction. Once the system is operating, no trade is required to sustain it. Therefore renewable energy production is not exposed to the political risks that plague fossil fuel production and shipments, such as interdiction, embargo, civil war, labor action"&amp;"s, and other disruptions. Despite such benefits, an emerging perspective in the US public discourse makes the opposite case, arguing that a buildout of renewable electricity would exacerbate supply risks, mining intensity, and import dependence. This pape"&amp;"r’s findings challenge such assertions. We demonstrate that installing just 1 GW of wind capacity to replace coal on a grid like that in Texas reduces total mining by 25 million tonnes over 20 years. Even if the world increased 12-fold the annual global p"&amp;"roduction of all rare earths, lithium, cobalt, and even copper, the metals produced would comprise just 3% of 2020 world coal production. Over two decades, five times more power would be produced by mining an equivalent amount for wind rather than coal. S"&amp;"ince transition materials requirements are so comparatively small, reduced international trade volumes mean a large measure of political risk falls away. Current practices for securing energy systems that require constant fuel deliveries thus offer little"&amp;" relevance for renewables.")</f>
        <v>The transition from fossil fuels to renewable energy systems involves enormous decreases in materials, mining, and political risk. Since renewable systems need no fuel, they depend on trade only for the acquisition of materials and components during construction. Once the system is operating, no trade is required to sustain it. Therefore renewable energy production is not exposed to the political risks that plague fossil fuel production and shipments, such as interdiction, embargo, civil war, labor actions, and other disruptions. Despite such benefits, an emerging perspective in the US public discourse makes the opposite case, arguing that a buildout of renewable electricity would exacerbate supply risks, mining intensity, and import dependence. This paper’s findings challenge such assertions. We demonstrate that installing just 1 GW of wind capacity to replace coal on a grid like that in Texas reduces total mining by 25 million tonnes over 20 years. Even if the world increased 12-fold the annual global production of all rare earths, lithium, cobalt, and even copper, the metals produced would comprise just 3% of 2020 world coal production. Over two decades, five times more power would be produced by mining an equivalent amount for wind rather than coal. Since transition materials requirements are so comparatively small, reduced international trade volumes mean a large measure of political risk falls away. Current practices for securing energy systems that require constant fuel deliveries thus offer little relevance for renewables.</v>
      </c>
      <c r="G56" s="1" t="str">
        <f>IFERROR(__xludf.DUMMYFUNCTION("""COMPUTED_VALUE"""),"Roe Gonzaga")</f>
        <v>Roe Gonzaga</v>
      </c>
      <c r="H56" s="1" t="str">
        <f>IFERROR(__xludf.DUMMYFUNCTION("""COMPUTED_VALUE"""),"Wave 2 (due Nov. 8)")</f>
        <v>Wave 2 (due Nov. 8)</v>
      </c>
      <c r="I56" s="6" t="str">
        <f>IFERROR(__xludf.DUMMYFUNCTION("""COMPUTED_VALUE"""),"https://drive.google.com/open?id=1XM2lvDCyhE42o5o5m8WGMDnioMjh_iFH")</f>
        <v>https://drive.google.com/open?id=1XM2lvDCyhE42o5o5m8WGMDnioMjh_iFH</v>
      </c>
    </row>
    <row r="57">
      <c r="A57" s="1" t="str">
        <f>IFERROR(__xludf.DUMMYFUNCTION("""COMPUTED_VALUE"""),"Whyte, K. (2020). Too late for indigenous climate justice: Ecological and relational tipping points. Wiley Interdisciplinary Reviews: Climate Change, 11(1), e603.")</f>
        <v>Whyte, K. (2020). Too late for indigenous climate justice: Ecological and relational tipping points. Wiley Interdisciplinary Reviews: Climate Change, 11(1), e603.</v>
      </c>
      <c r="B57" s="1" t="str">
        <f>IFERROR(__xludf.DUMMYFUNCTION("""COMPUTED_VALUE"""),"Kyle Whyte is a faculty member at the University of Michigan where he is George Willis Pack Professor in the School for Environment and Sustainability, University Diversity and Social Transformation Professor, and Professor of Philosophy in the College of"&amp;" Literature, Science, and the Arts. Kyle teaches in the SEAS environmental justice specialization. He is founding Faculty Director of the Tishman Center for Social Justice and the Environment, Principal Investigator of the Energy Equity Project, Faculty A"&amp;"ssociate of Native American Studies, and Senior Fellow in the Michigan Society of Fellows. His research addresses environmental justice, focusing on moral and political issues concerning climate policy and Indigenous peoples, the ethics of cooperative rel"&amp;"ationships between Indigenous peoples and science organizations, and problems of Indigenous justice in public and academic discussions of food sovereignty, environmental justice, and the anthropocene. He is an enrolled member of the Citizen Potawatomi Nat"&amp;"ion.")</f>
        <v>Kyle Whyte is a faculty member at the University of Michigan where he is George Willis Pack Professor in the School for Environment and Sustainability, University Diversity and Social Transformation Professor, and Professor of Philosophy in the College of Literature, Science, and the Arts. Kyle teaches in the SEAS environmental justice specialization. He is founding Faculty Director of the Tishman Center for Social Justice and the Environment, Principal Investigator of the Energy Equity Project, Faculty Associate of Native American Studies, and Senior Fellow in the Michigan Society of Fellows. His research addresses environmental justice, focusing on moral and political issues concerning climate policy and Indigenous peoples, the ethics of cooperative relationships between Indigenous peoples and science organizations, and problems of Indigenous justice in public and academic discussions of food sovereignty, environmental justice, and the anthropocene. He is an enrolled member of the Citizen Potawatomi Nation.</v>
      </c>
      <c r="C57" s="1" t="str">
        <f>IFERROR(__xludf.DUMMYFUNCTION("""COMPUTED_VALUE"""),"MIXED")</f>
        <v>MIXED</v>
      </c>
      <c r="D57" s="1" t="str">
        <f>IFERROR(__xludf.DUMMYFUNCTION("""COMPUTED_VALUE"""),"Settler Colonialism")</f>
        <v>Settler Colonialism</v>
      </c>
      <c r="E57" s="1" t="str">
        <f>IFERROR(__xludf.DUMMYFUNCTION("""COMPUTED_VALUE"""),"This article adds several dimensions to the settler colonialism argument. For the negative, it establishes topic-relevant framing arguments, sequencing/priority arguments, and several link arguments specific to energy governance. For the affirmative, it o"&amp;"ffers impact calculus and and inevitably arguments about the K’s priority of addressing colonialism prior to climate mitigation.")</f>
        <v>This article adds several dimensions to the settler colonialism argument. For the negative, it establishes topic-relevant framing arguments, sequencing/priority arguments, and several link arguments specific to energy governance. For the affirmative, it offers impact calculus and and inevitably arguments about the K’s priority of addressing colonialism prior to climate mitigation.</v>
      </c>
      <c r="F57" s="1" t="str">
        <f>IFERROR(__xludf.DUMMYFUNCTION("""COMPUTED_VALUE"""),"It may be too late to achieve environmental justice for some indigenous peoples, and other groups, in terms of avoiding dangerous climate change. People in the indigenous climate justice movement agree resolutely on the urgency of action to stop dangerous"&amp;" climate change. However, the qualities of relationships connecting indigenous peoples with other societies' governments, nongovernmental organizations, and corporations are not conducive to coordinated action that would avoid further injustice against in"&amp;"digenous peoples in the process of responding to climate change. The required qualities include, among others, consent, trust, accountability, and reciprocity. Indigenous traditions of climate change view the very topic of climate change as connected to t"&amp;"hese qualities, which are sometimes referred to as kin relationships. The entwinement of colonialism, capitalism, and industrialization failed to affirm or establish these qualities or kinship relationships across societies. While qualities like consent o"&amp;"r reciprocity may be critical for taking coordinated action urgently and justly, they require a long time to establish or repair. A relational tipping point, in a certain respect, has already been crossed, before the ecological tipping point. The time it "&amp;"takes to address the passage of this relational tipping point may be too slow to generate the coordinated action to halt certain dangers related to climate change. While no possibilities for better futures should be left unconsidered, it's critical to cen"&amp;"ter environmental justice in any analysis of whether it's too late to stop dangerous climate change. ")</f>
        <v>It may be too late to achieve environmental justice for some indigenous peoples, and other groups, in terms of avoiding dangerous climate change. People in the indigenous climate justice movement agree resolutely on the urgency of action to stop dangerous climate change. However, the qualities of relationships connecting indigenous peoples with other societies' governments, nongovernmental organizations, and corporations are not conducive to coordinated action that would avoid further injustice against indigenous peoples in the process of responding to climate change. The required qualities include, among others, consent, trust, accountability, and reciprocity. Indigenous traditions of climate change view the very topic of climate change as connected to these qualities, which are sometimes referred to as kin relationships. The entwinement of colonialism, capitalism, and industrialization failed to affirm or establish these qualities or kinship relationships across societies. While qualities like consent or reciprocity may be critical for taking coordinated action urgently and justly, they require a long time to establish or repair. A relational tipping point, in a certain respect, has already been crossed, before the ecological tipping point. The time it takes to address the passage of this relational tipping point may be too slow to generate the coordinated action to halt certain dangers related to climate change. While no possibilities for better futures should be left unconsidered, it's critical to center environmental justice in any analysis of whether it's too late to stop dangerous climate change. </v>
      </c>
      <c r="G57" s="1" t="str">
        <f>IFERROR(__xludf.DUMMYFUNCTION("""COMPUTED_VALUE"""),"Cram WWU")</f>
        <v>Cram WWU</v>
      </c>
      <c r="H57" s="1" t="str">
        <f>IFERROR(__xludf.DUMMYFUNCTION("""COMPUTED_VALUE"""),"Wave 2 (due Nov. 8)")</f>
        <v>Wave 2 (due Nov. 8)</v>
      </c>
      <c r="I57" s="6" t="str">
        <f>IFERROR(__xludf.DUMMYFUNCTION("""COMPUTED_VALUE"""),"https://drive.google.com/open?id=14U0PkiLCA6c736YwznNxEYmKTPcy-YDs")</f>
        <v>https://drive.google.com/open?id=14U0PkiLCA6c736YwznNxEYmKTPcy-YDs</v>
      </c>
    </row>
    <row r="58">
      <c r="A58" s="1" t="str">
        <f>IFERROR(__xludf.DUMMYFUNCTION("""COMPUTED_VALUE"""),"Belfiori, M. E. (2021). Fossil fuel subsidies, the green paradox and the fiscal paradox. Economics of Energy &amp; Environmental Policy, 10(1), 183-193.")</f>
        <v>Belfiori, M. E. (2021). Fossil fuel subsidies, the green paradox and the fiscal paradox. Economics of Energy &amp; Environmental Policy, 10(1), 183-193.</v>
      </c>
      <c r="B58" s="1" t="str">
        <f>IFERROR(__xludf.DUMMYFUNCTION("""COMPUTED_VALUE"""),"Elisa is a Macroeconomist with interest in Climate Economics and Public Finance. She holds a Ph.D. in Economics from the University of Minnesota. Elisa is a full-time professor at Universidad Torcuato Di Tella.")</f>
        <v>Elisa is a Macroeconomist with interest in Climate Economics and Public Finance. She holds a Ph.D. in Economics from the University of Minnesota. Elisa is a full-time professor at Universidad Torcuato Di Tella.</v>
      </c>
      <c r="C58" s="1" t="str">
        <f>IFERROR(__xludf.DUMMYFUNCTION("""COMPUTED_VALUE"""),"NEGATIVE")</f>
        <v>NEGATIVE</v>
      </c>
      <c r="D58" s="1" t="str">
        <f>IFERROR(__xludf.DUMMYFUNCTION("""COMPUTED_VALUE"""),"Remove Fossil Fuel Subsidies")</f>
        <v>Remove Fossil Fuel Subsidies</v>
      </c>
      <c r="E58" s="1" t="str">
        <f>IFERROR(__xludf.DUMMYFUNCTION("""COMPUTED_VALUE"""),"Removal of fossil fuel subsidies will increase carbon emissions in the short term, as well as causing immediate economic issues. Challenge to ""short term benefits"" argument.")</f>
        <v>Removal of fossil fuel subsidies will increase carbon emissions in the short term, as well as causing immediate economic issues. Challenge to "short term benefits" argument.</v>
      </c>
      <c r="F58" s="1" t="str">
        <f>IFERROR(__xludf.DUMMYFUNCTION("""COMPUTED_VALUE"""),"Fossil fuel subsidies amounted to about 0.4% of global GDP in 2015, and there is an
active call worldwide for eliminating them. The main argument in favor of removing
subsidies is that it will lead to a reduction in global carbon emissions and a decrease "&amp;"in
fiscal deficits. This paper shows that there are also some overlooked adverse effects of
eliminating the current fossil fuel subsidies. A version of the “Green Paradox” arises
when oil firms learn that fossil fuel subsidies will be removed. In fear tha"&amp;"t their assets
will lose value, firms have incentives to accelerate extraction before subsidies are eliminated. Thus, carbon emissions increase in the short run and the climate externality
worsens. Likewise, a “Fiscal paradox” arises because government ou"&amp;"tlays rise in the
short run when more extraction occurs. I show that these intertemporal effects reduce
the relative benefits from eliminating the existing subsidies and may actually make a
fossil fuel subsidy reform counterproductive.")</f>
        <v>Fossil fuel subsidies amounted to about 0.4% of global GDP in 2015, and there is an
active call worldwide for eliminating them. The main argument in favor of removing
subsidies is that it will lead to a reduction in global carbon emissions and a decrease in
fiscal deficits. This paper shows that there are also some overlooked adverse effects of
eliminating the current fossil fuel subsidies. A version of the “Green Paradox” arises
when oil firms learn that fossil fuel subsidies will be removed. In fear that their assets
will lose value, firms have incentives to accelerate extraction before subsidies are eliminated. Thus, carbon emissions increase in the short run and the climate externality
worsens. Likewise, a “Fiscal paradox” arises because government outlays rise in the
short run when more extraction occurs. I show that these intertemporal effects reduce
the relative benefits from eliminating the existing subsidies and may actually make a
fossil fuel subsidy reform counterproductive.</v>
      </c>
      <c r="G58" s="1" t="str">
        <f>IFERROR(__xludf.DUMMYFUNCTION("""COMPUTED_VALUE"""),"Saur WWU")</f>
        <v>Saur WWU</v>
      </c>
      <c r="H58" s="1" t="str">
        <f>IFERROR(__xludf.DUMMYFUNCTION("""COMPUTED_VALUE"""),"Wave 2 (due Nov. 8)")</f>
        <v>Wave 2 (due Nov. 8)</v>
      </c>
      <c r="I58" s="6" t="str">
        <f>IFERROR(__xludf.DUMMYFUNCTION("""COMPUTED_VALUE"""),"https://drive.google.com/open?id=1At1Hb4rNGdvJ6rS_HEVvJhY01yWykmwF")</f>
        <v>https://drive.google.com/open?id=1At1Hb4rNGdvJ6rS_HEVvJhY01yWykmwF</v>
      </c>
    </row>
    <row r="59">
      <c r="A59" s="1" t="str">
        <f>IFERROR(__xludf.DUMMYFUNCTION("""COMPUTED_VALUE"""),"Brauers, H. (2022). Natural gas as a barrier to sustainability transitions? A systematic mapping of the risks and challenges. Energy Research &amp; Social Science Volume 89, July 2022, 102538")</f>
        <v>Brauers, H. (2022). Natural gas as a barrier to sustainability transitions? A systematic mapping of the risks and challenges. Energy Research &amp; Social Science Volume 89, July 2022, 102538</v>
      </c>
      <c r="B59" s="1" t="str">
        <f>IFERROR(__xludf.DUMMYFUNCTION("""COMPUTED_VALUE"""),"Europa-Universität Flensburg, Economics of Sustainable Energy System Transition, Munketoft 3, 24937 Flensburg, Germany")</f>
        <v>Europa-Universität Flensburg, Economics of Sustainable Energy System Transition, Munketoft 3, 24937 Flensburg, Germany</v>
      </c>
      <c r="C59" s="1" t="str">
        <f>IFERROR(__xludf.DUMMYFUNCTION("""COMPUTED_VALUE"""),"AFFIRMATIVE")</f>
        <v>AFFIRMATIVE</v>
      </c>
      <c r="D59" s="1" t="str">
        <f>IFERROR(__xludf.DUMMYFUNCTION("""COMPUTED_VALUE"""),"Natural Gas DA")</f>
        <v>Natural Gas DA</v>
      </c>
      <c r="E59" s="1" t="str">
        <f>IFERROR(__xludf.DUMMYFUNCTION("""COMPUTED_VALUE"""),"Answers natural gas DA by doing a meta analysis of the negative effects of natural gas and refutes it being a transition fuel")</f>
        <v>Answers natural gas DA by doing a meta analysis of the negative effects of natural gas and refutes it being a transition fuel</v>
      </c>
      <c r="F59" s="1" t="str">
        <f>IFERROR(__xludf.DUMMYFUNCTION("""COMPUTED_VALUE"""),"Research has shown that natural gas (NG) has a significant negative impact on the climate. The role of NG in future global energy systems is highly controversial. Due to the greenhouse gas emissions associated with NG and the potential delay of low-carbon"&amp;" technologies, this energy source could represent a barrier rather than a solution to successful sustainability transitions. However, it appears that very little existing research covers NG-related risks for energy transitions. This paper covers a systema"&amp;"tic mapping of the academic sustainability transitions literature, compiling existing evidence on the potential risks and adverse effects of using NG. Methane emissions in particular pose large climate risks, while the main barriers to sustainability tran"&amp;"sitions caused by NG include a crowding-out effect of low-carbon technologies, stranded assets, infrastructure lock-in, and behavioural lock-ins. The resulting political challenges include achieving climate mitigation targets, dealing with opposition to N"&amp;"G reduction, and addressing discursive lock-ins. The studies cited here highlight the fact that the potential of NG to reduce greenhouse gases is small, and that climate targets cannot be achieved via NG use in the long term.")</f>
        <v>Research has shown that natural gas (NG) has a significant negative impact on the climate. The role of NG in future global energy systems is highly controversial. Due to the greenhouse gas emissions associated with NG and the potential delay of low-carbon technologies, this energy source could represent a barrier rather than a solution to successful sustainability transitions. However, it appears that very little existing research covers NG-related risks for energy transitions. This paper covers a systematic mapping of the academic sustainability transitions literature, compiling existing evidence on the potential risks and adverse effects of using NG. Methane emissions in particular pose large climate risks, while the main barriers to sustainability transitions caused by NG include a crowding-out effect of low-carbon technologies, stranded assets, infrastructure lock-in, and behavioural lock-ins. The resulting political challenges include achieving climate mitigation targets, dealing with opposition to NG reduction, and addressing discursive lock-ins. The studies cited here highlight the fact that the potential of NG to reduce greenhouse gases is small, and that climate targets cannot be achieved via NG use in the long term.</v>
      </c>
      <c r="G59" s="1" t="str">
        <f>IFERROR(__xludf.DUMMYFUNCTION("""COMPUTED_VALUE"""),"Mooney Hillsdale")</f>
        <v>Mooney Hillsdale</v>
      </c>
      <c r="H59" s="1" t="str">
        <f>IFERROR(__xludf.DUMMYFUNCTION("""COMPUTED_VALUE"""),"Wave 2 (due Nov. 8)")</f>
        <v>Wave 2 (due Nov. 8)</v>
      </c>
      <c r="I59" s="6" t="str">
        <f>IFERROR(__xludf.DUMMYFUNCTION("""COMPUTED_VALUE"""),"https://drive.google.com/open?id=1FpDQYIXc2EV_YURui96QM7NL3nFpCyL3")</f>
        <v>https://drive.google.com/open?id=1FpDQYIXc2EV_YURui96QM7NL3nFpCyL3</v>
      </c>
    </row>
    <row r="60">
      <c r="A60" s="1" t="str">
        <f>IFERROR(__xludf.DUMMYFUNCTION("""COMPUTED_VALUE"""),"Wu, K., Paranjothi, G., Milford, J.B. &amp; Kreith, F. (2016). Transition to sustainability with natural gas from fracking, Sustainable Energy Technologies and Assessments, 14(2016), 26-34")</f>
        <v>Wu, K., Paranjothi, G., Milford, J.B. &amp; Kreith, F. (2016). Transition to sustainability with natural gas from fracking, Sustainable Energy Technologies and Assessments, 14(2016), 26-34</v>
      </c>
      <c r="B60" s="1" t="str">
        <f>IFERROR(__xludf.DUMMYFUNCTION("""COMPUTED_VALUE"""),"All: Department of Mechanical Engineering, University of Colorado Boulder, Boulder, CO 80309, United States")</f>
        <v>All: Department of Mechanical Engineering, University of Colorado Boulder, Boulder, CO 80309, United States</v>
      </c>
      <c r="C60" s="1" t="str">
        <f>IFERROR(__xludf.DUMMYFUNCTION("""COMPUTED_VALUE"""),"NEGATIVE")</f>
        <v>NEGATIVE</v>
      </c>
      <c r="D60" s="1" t="str">
        <f>IFERROR(__xludf.DUMMYFUNCTION("""COMPUTED_VALUE"""),"Natural Gas DA")</f>
        <v>Natural Gas DA</v>
      </c>
      <c r="E60" s="1" t="str">
        <f>IFERROR(__xludf.DUMMYFUNCTION("""COMPUTED_VALUE"""),"Data driven research that shows a with natural gas scenario is better for the climate than without, builds links and uniqueness for the DA")</f>
        <v>Data driven research that shows a with natural gas scenario is better for the climate than without, builds links and uniqueness for the DA</v>
      </c>
      <c r="F60" s="1" t="str">
        <f>IFERROR(__xludf.DUMMYFUNCTION("""COMPUTED_VALUE"""),"This paper analyzes the energy requirements and cost of constructing a renewable energy system with the excess energy available from natural gas obtained by hydraulic fracturing. Using U.S. Energy Information Administration estimates of the future availab"&amp;"ility of natural gas and estimates from the literature of the energy required to build a wind power and photovoltaic (PV) electricity generation system, we develop a scenario for constructing a sustainable electricity system for the United States. A preli"&amp;"minary analysis is made of the cost of the renewable system. Net reductions in emissions of greenhouse gases and oxides of nitrogen are also estimated. The analysis suggests that it would be possible to build a sustainable electricity system from the exce"&amp;"ss natural gas from fracking in less than 30 years. After that, the energy produced from the renewable system is sufficient to replace obsolete equipment and construct new generation technology as required by growth in demand. Even after accounting for th"&amp;"e emissions associated with its construction and operation, the sustainable system would reduce greenhouse gas (GHG) and nitrogen oxides emissions compared to continued use of a fossil fuel system.")</f>
        <v>This paper analyzes the energy requirements and cost of constructing a renewable energy system with the excess energy available from natural gas obtained by hydraulic fracturing. Using U.S. Energy Information Administration estimates of the future availability of natural gas and estimates from the literature of the energy required to build a wind power and photovoltaic (PV) electricity generation system, we develop a scenario for constructing a sustainable electricity system for the United States. A preliminary analysis is made of the cost of the renewable system. Net reductions in emissions of greenhouse gases and oxides of nitrogen are also estimated. The analysis suggests that it would be possible to build a sustainable electricity system from the excess natural gas from fracking in less than 30 years. After that, the energy produced from the renewable system is sufficient to replace obsolete equipment and construct new generation technology as required by growth in demand. Even after accounting for the emissions associated with its construction and operation, the sustainable system would reduce greenhouse gas (GHG) and nitrogen oxides emissions compared to continued use of a fossil fuel system.</v>
      </c>
      <c r="G60" s="1" t="str">
        <f>IFERROR(__xludf.DUMMYFUNCTION("""COMPUTED_VALUE"""),"Mooney Hillsdale")</f>
        <v>Mooney Hillsdale</v>
      </c>
      <c r="H60" s="1" t="str">
        <f>IFERROR(__xludf.DUMMYFUNCTION("""COMPUTED_VALUE"""),"Wave 2 (due Nov. 8)")</f>
        <v>Wave 2 (due Nov. 8)</v>
      </c>
      <c r="I60" s="6" t="str">
        <f>IFERROR(__xludf.DUMMYFUNCTION("""COMPUTED_VALUE"""),"https://drive.google.com/open?id=1q_b7hkTagiWUuGwWbXKARPhAvlpxp83e")</f>
        <v>https://drive.google.com/open?id=1q_b7hkTagiWUuGwWbXKARPhAvlpxp83e</v>
      </c>
    </row>
    <row r="61">
      <c r="A61" s="1" t="str">
        <f>IFERROR(__xludf.DUMMYFUNCTION("""COMPUTED_VALUE"""),"Achakulwisut, P., Erickson, P. &amp; Koplow, D. (2021). Effect of subsidies and regulatory exemptions on 2020–2030 oil and gas production and profits in the United States. Environmental Research Letters, 16(8), 084023. https://doi.org/10.1088/1748-9326/ac0a10")</f>
        <v>Achakulwisut, P., Erickson, P. &amp; Koplow, D. (2021). Effect of subsidies and regulatory exemptions on 2020–2030 oil and gas production and profits in the United States. Environmental Research Letters, 16(8), 084023. https://doi.org/10.1088/1748-9326/ac0a10</v>
      </c>
      <c r="B61" s="1" t="str">
        <f>IFERROR(__xludf.DUMMYFUNCTION("""COMPUTED_VALUE"""),"Achakulwisut &amp; Erickson: Stockholm Environment Institute, Somerville, MA, USA; Koplow: Earth Track, Inc., Cambridge, MA, USA")</f>
        <v>Achakulwisut &amp; Erickson: Stockholm Environment Institute, Somerville, MA, USA; Koplow: Earth Track, Inc., Cambridge, MA, USA</v>
      </c>
      <c r="C61" s="1" t="str">
        <f>IFERROR(__xludf.DUMMYFUNCTION("""COMPUTED_VALUE"""),"MIXED")</f>
        <v>MIXED</v>
      </c>
      <c r="D61" s="1" t="str">
        <f>IFERROR(__xludf.DUMMYFUNCTION("""COMPUTED_VALUE"""),"Remove Fossil Fuel Subsidies")</f>
        <v>Remove Fossil Fuel Subsidies</v>
      </c>
      <c r="E61" s="1" t="str">
        <f>IFERROR(__xludf.DUMMYFUNCTION("""COMPUTED_VALUE"""),"Quantifies the impact of FFS on production and provides links for both sides, includes much needed details on FFS")</f>
        <v>Quantifies the impact of FFS on production and provides links for both sides, includes much needed details on FFS</v>
      </c>
      <c r="F61" s="1" t="str">
        <f>IFERROR(__xludf.DUMMYFUNCTION("""COMPUTED_VALUE"""),"The United States has supported the development of its oil and gas industry since the early twentieth century. Despite repeated pledges to phase out 'inefficient' fossil fuel subsidies, US oil and gas production continues to be subsidized by billions of d"&amp;"ollars each year. In this study, we quantify how 16 subsidies and regulatory exemptions individually and altogether affect the economics of US oil and gas production in 2020–2030 under different price and financial risk outlooks. We find that, at 2019 ave"&amp;"rage market prices of oil and gas, the 16 subsidies could increase the average rates of return of yet-to-be-developed oil and gas fields by 55% and 68% over unsubsidized levels, respectively, with over 96% of subsidy value flowing to excess profits under "&amp;"a 10% hurdle rate. At lower 2020 prices, the subsidies could increase the average rates of return of new oil and gas fields by 63% and 78% over unsubsidized levels, respectively, with more than 60% of oil and gas resources being dependent on subsidies to "&amp;"be profitable under a 20% hurdle rate. Under all price scenarios analyzed, the highest-value subsidies include federal tax incentives that have existed since 1916, as well as less recognized forms of support such as cost exemptions related to well cleanup"&amp;" and hazardous waste management. Given that these results depend on our chosen definitions of what constitutes a subsidy and, in some cases, assumptions regarding what the unsubsidized practices should be, we also present results for selected subsets of s"&amp;"ubsidies. By showing which subsidies have the greatest effects in different producing regions of the country, our findings can help policymakers chart a schedule of targeted subsidy repeals and regulatory reforms that can contribute to reducing carbon dio"&amp;"xide emissions and achieving other sustainable development goals. Our results can also help inform how different choices about economic recovery measures in response to the COVID-19 pandemic can shape the US oil and gas industry in the years to come.")</f>
        <v>The United States has supported the development of its oil and gas industry since the early twentieth century. Despite repeated pledges to phase out 'inefficient' fossil fuel subsidies, US oil and gas production continues to be subsidized by billions of dollars each year. In this study, we quantify how 16 subsidies and regulatory exemptions individually and altogether affect the economics of US oil and gas production in 2020–2030 under different price and financial risk outlooks. We find that, at 2019 average market prices of oil and gas, the 16 subsidies could increase the average rates of return of yet-to-be-developed oil and gas fields by 55% and 68% over unsubsidized levels, respectively, with over 96% of subsidy value flowing to excess profits under a 10% hurdle rate. At lower 2020 prices, the subsidies could increase the average rates of return of new oil and gas fields by 63% and 78% over unsubsidized levels, respectively, with more than 60% of oil and gas resources being dependent on subsidies to be profitable under a 20% hurdle rate. Under all price scenarios analyzed, the highest-value subsidies include federal tax incentives that have existed since 1916, as well as less recognized forms of support such as cost exemptions related to well cleanup and hazardous waste management. Given that these results depend on our chosen definitions of what constitutes a subsidy and, in some cases, assumptions regarding what the unsubsidized practices should be, we also present results for selected subsets of subsidies. By showing which subsidies have the greatest effects in different producing regions of the country, our findings can help policymakers chart a schedule of targeted subsidy repeals and regulatory reforms that can contribute to reducing carbon dioxide emissions and achieving other sustainable development goals. Our results can also help inform how different choices about economic recovery measures in response to the COVID-19 pandemic can shape the US oil and gas industry in the years to come.</v>
      </c>
      <c r="G61" s="1" t="str">
        <f>IFERROR(__xludf.DUMMYFUNCTION("""COMPUTED_VALUE"""),"Mooney Hillsdale")</f>
        <v>Mooney Hillsdale</v>
      </c>
      <c r="H61" s="1" t="str">
        <f>IFERROR(__xludf.DUMMYFUNCTION("""COMPUTED_VALUE"""),"Wave 2 (due Nov. 8)")</f>
        <v>Wave 2 (due Nov. 8)</v>
      </c>
      <c r="I61" s="6" t="str">
        <f>IFERROR(__xludf.DUMMYFUNCTION("""COMPUTED_VALUE"""),"https://drive.google.com/open?id=12klb4_xE_kcEyrt_ay2wgAtHST_uDvtb")</f>
        <v>https://drive.google.com/open?id=12klb4_xE_kcEyrt_ay2wgAtHST_uDvtb</v>
      </c>
    </row>
    <row r="62">
      <c r="A62" s="1" t="str">
        <f>IFERROR(__xludf.DUMMYFUNCTION("""COMPUTED_VALUE"""),"Malerba, D., Chen, X., Feng, K., Hubacek, K., &amp; Oswald, Y. (2022). The impact of carbon taxation and revenue redistribution on poverty and inequality. www.econstor.eu. https://doi.org/10.23661/ipb11.2022")</f>
        <v>Malerba, D., Chen, X., Feng, K., Hubacek, K., &amp; Oswald, Y. (2022). The impact of carbon taxation and revenue redistribution on poverty and inequality. www.econstor.eu. https://doi.org/10.23661/ipb11.2022</v>
      </c>
      <c r="B62" s="1" t="str">
        <f>IFERROR(__xludf.DUMMYFUNCTION("""COMPUTED_VALUE"""),"Malerba is a Senior Researcher at the German Institute for Development and Sustainability. Chen holds a PhD in Sustainable and Renewable Energy and works as a lecturer at Loughborough University. Feng is a professor in the Department of Geographical Scien"&amp;"ce at the University of Maryland at College Park. Hubacek is a professor in Science, Technology and Society at the University of Groningen, the Netherlands. Oswald holds a PhD in Quantitative Ecological Economics ")</f>
        <v>Malerba is a Senior Researcher at the German Institute for Development and Sustainability. Chen holds a PhD in Sustainable and Renewable Energy and works as a lecturer at Loughborough University. Feng is a professor in the Department of Geographical Science at the University of Maryland at College Park. Hubacek is a professor in Science, Technology and Society at the University of Groningen, the Netherlands. Oswald holds a PhD in Quantitative Ecological Economics </v>
      </c>
      <c r="C62" s="1" t="str">
        <f>IFERROR(__xludf.DUMMYFUNCTION("""COMPUTED_VALUE"""),"NEGATIVE")</f>
        <v>NEGATIVE</v>
      </c>
      <c r="D62" s="1" t="str">
        <f>IFERROR(__xludf.DUMMYFUNCTION("""COMPUTED_VALUE"""),"Carbon Tax")</f>
        <v>Carbon Tax</v>
      </c>
      <c r="E62" s="1" t="str">
        <f>IFERROR(__xludf.DUMMYFUNCTION("""COMPUTED_VALUE"""),"Provides empirical analysis of Sweden's carbon and gasoline taxes and analyzes the link between the regressivity of carbon taxes and income inequality. Finds that the progressivity/regressivity of carbon taxes depends on the Gini coefficient or the change"&amp;" in income inequality over time, and that carbon taxes are more likely to be regressive in high income countries")</f>
        <v>Provides empirical analysis of Sweden's carbon and gasoline taxes and analyzes the link between the regressivity of carbon taxes and income inequality. Finds that the progressivity/regressivity of carbon taxes depends on the Gini coefficient or the change in income inequality over time, and that carbon taxes are more likely to be regressive in high income countries</v>
      </c>
      <c r="F62" s="1" t="str">
        <f>IFERROR(__xludf.DUMMYFUNCTION("""COMPUTED_VALUE"""),"This paper addresses the question of the distributional burden of a carbon tax. It shows that, not only the income measure – annual or lifetime – matters for the incidence of the tax, but also the underlying distribution of income. The Swedish carbon tax "&amp;"on transport fuel is regressive between 1999-2012 when measured against annual income, but progressive when using lifetime income. The overall trend, however, is toward an increase in regressivity, which is highly correlated with a rise in income inequali"&amp;"ty. Analysis of the determinants of distributional effects lends support to our hypothesis that, for necessities – goods with an income elasticity below one – rising income inequality increases the regressivity of a consumption tax. To mitigate climate ch"&amp;"ange, a carbon tax should be applied to goods that typically are necessities: transport fuel, food, heating, and electricity. Carbon taxation will thus likely be regressive in high-income countries, the more so the more unequal the distribution of income")</f>
        <v>This paper addresses the question of the distributional burden of a carbon tax. It shows that, not only the income measure – annual or lifetime – matters for the incidence of the tax, but also the underlying distribution of income. The Swedish carbon tax on transport fuel is regressive between 1999-2012 when measured against annual income, but progressive when using lifetime income. The overall trend, however, is toward an increase in regressivity, which is highly correlated with a rise in income inequality. Analysis of the determinants of distributional effects lends support to our hypothesis that, for necessities – goods with an income elasticity below one – rising income inequality increases the regressivity of a consumption tax. To mitigate climate change, a carbon tax should be applied to goods that typically are necessities: transport fuel, food, heating, and electricity. Carbon taxation will thus likely be regressive in high-income countries, the more so the more unequal the distribution of income</v>
      </c>
      <c r="G62" s="1" t="str">
        <f>IFERROR(__xludf.DUMMYFUNCTION("""COMPUTED_VALUE"""),"Woo Hillsdale")</f>
        <v>Woo Hillsdale</v>
      </c>
      <c r="H62" s="1" t="str">
        <f>IFERROR(__xludf.DUMMYFUNCTION("""COMPUTED_VALUE"""),"Wave 2 (due Nov. 8)")</f>
        <v>Wave 2 (due Nov. 8)</v>
      </c>
      <c r="I62" s="6" t="str">
        <f>IFERROR(__xludf.DUMMYFUNCTION("""COMPUTED_VALUE"""),"https://drive.google.com/open?id=1JJujNQN4W1mwdUUDB1j7Hye5pLjmUqOx")</f>
        <v>https://drive.google.com/open?id=1JJujNQN4W1mwdUUDB1j7Hye5pLjmUqOx</v>
      </c>
    </row>
    <row r="63">
      <c r="A63" s="1" t="str">
        <f>IFERROR(__xludf.DUMMYFUNCTION("""COMPUTED_VALUE"""),"Franziska Müller. (2024). Energy Colonialism. Journal of Political Ecology, 31(1). https://doi.org/10.2458/jpe.5659")</f>
        <v>Franziska Müller. (2024). Energy Colonialism. Journal of Political Ecology, 31(1). https://doi.org/10.2458/jpe.5659</v>
      </c>
      <c r="B63" s="1" t="str">
        <f>IFERROR(__xludf.DUMMYFUNCTION("""COMPUTED_VALUE"""),"Franziska Müller is a junior lecturer in political science at the University of Hamburg. ")</f>
        <v>Franziska Müller is a junior lecturer in political science at the University of Hamburg. </v>
      </c>
      <c r="C63" s="1" t="str">
        <f>IFERROR(__xludf.DUMMYFUNCTION("""COMPUTED_VALUE"""),"NEGATIVE")</f>
        <v>NEGATIVE</v>
      </c>
      <c r="D63" s="1" t="str">
        <f>IFERROR(__xludf.DUMMYFUNCTION("""COMPUTED_VALUE"""),"Settler Colonialism K")</f>
        <v>Settler Colonialism K</v>
      </c>
      <c r="E63" s="1" t="str">
        <f>IFERROR(__xludf.DUMMYFUNCTION("""COMPUTED_VALUE"""),"This article provides a description of Energy Colonialism and multiple perspectives within the debate. It offers more links against the affirmative. ")</f>
        <v>This article provides a description of Energy Colonialism and multiple perspectives within the debate. It offers more links against the affirmative. </v>
      </c>
      <c r="F63" s="1" t="str">
        <f>IFERROR(__xludf.DUMMYFUNCTION("""COMPUTED_VALUE"""),"Energy colonialism is an essential, yet scarcely theorized concept for understanding how past, present and future energy systems are shaped by colonial or neocolonial power dynamics, imaginaries, discourses, and practices. These perspectives are important"&amp;" for contemporary debates on energy transition processes, namely with regard to green finance flows, new green geopolitics, and energy governance. Energy colonialism becomes manifest as power over energy transition processes, as an epistemic force with re"&amp;"gard to knowledge orders and knowledge transfer, but also as an intervention on an individual scale, affecting daily life and human-nature relations. Colonial continuities are pervading contemporary energy debates, for instance in the ‘run-up’ for green h"&amp;"ydrogen produced the Global South to sustain economic growth in the Global North, in colonial imaginaries of terra nullius conceptions reproduced in energy partnerships, and not least in financial dependencies that stabilize the political economy of clean"&amp;" energy. Reconstructing how different understandings of energy colonialism entered political and academic debate, this article provides an account of its history of ideas and demonstrates how a lack of theoretical underpinning limits analytical rigor and "&amp;"activist work. To close this gap, I engage with the concept of coloniality in use, and suggest a more nuanced understanding of energy colonialism. A nine-field matrix demonstrates how energy colonialism becomes manifest on different levels of energy trans"&amp;"itions and how the concept may serve as a multidimensional research strategy for critical social science research on energy transitions and modes of energy governance, energy infrastructures, and energy subjectivities.")</f>
        <v>Energy colonialism is an essential, yet scarcely theorized concept for understanding how past, present and future energy systems are shaped by colonial or neocolonial power dynamics, imaginaries, discourses, and practices. These perspectives are important for contemporary debates on energy transition processes, namely with regard to green finance flows, new green geopolitics, and energy governance. Energy colonialism becomes manifest as power over energy transition processes, as an epistemic force with regard to knowledge orders and knowledge transfer, but also as an intervention on an individual scale, affecting daily life and human-nature relations. Colonial continuities are pervading contemporary energy debates, for instance in the ‘run-up’ for green hydrogen produced the Global South to sustain economic growth in the Global North, in colonial imaginaries of terra nullius conceptions reproduced in energy partnerships, and not least in financial dependencies that stabilize the political economy of clean energy. Reconstructing how different understandings of energy colonialism entered political and academic debate, this article provides an account of its history of ideas and demonstrates how a lack of theoretical underpinning limits analytical rigor and activist work. To close this gap, I engage with the concept of coloniality in use, and suggest a more nuanced understanding of energy colonialism. A nine-field matrix demonstrates how energy colonialism becomes manifest on different levels of energy transitions and how the concept may serve as a multidimensional research strategy for critical social science research on energy transitions and modes of energy governance, energy infrastructures, and energy subjectivities.</v>
      </c>
      <c r="G63" s="1" t="str">
        <f>IFERROR(__xludf.DUMMYFUNCTION("""COMPUTED_VALUE"""),"Wellman Gonzaga ")</f>
        <v>Wellman Gonzaga </v>
      </c>
      <c r="H63" s="1" t="str">
        <f>IFERROR(__xludf.DUMMYFUNCTION("""COMPUTED_VALUE"""),"Wave 2 (due Nov. 8)")</f>
        <v>Wave 2 (due Nov. 8)</v>
      </c>
      <c r="I63" s="6" t="str">
        <f>IFERROR(__xludf.DUMMYFUNCTION("""COMPUTED_VALUE"""),"https://drive.google.com/open?id=1abeX2L4AVqo3963YQ77xnOafxuaGzP4N")</f>
        <v>https://drive.google.com/open?id=1abeX2L4AVqo3963YQ77xnOafxuaGzP4N</v>
      </c>
    </row>
    <row r="64">
      <c r="A64" s="1" t="str">
        <f>IFERROR(__xludf.DUMMYFUNCTION("""COMPUTED_VALUE"""),"Kime, S., Jacome, V., Pellow, D., &amp; Deshmukh, R. (2023). Evaluating equity and justice in low-carbon energy transitions. Environmental Research Letters, 18. https://doi.org/10.1088/1748-9326/ad08f8.")</f>
        <v>Kime, S., Jacome, V., Pellow, D., &amp; Deshmukh, R. (2023). Evaluating equity and justice in low-carbon energy transitions. Environmental Research Letters, 18. https://doi.org/10.1088/1748-9326/ad08f8.</v>
      </c>
      <c r="B64" s="1" t="str">
        <f>IFERROR(__xludf.DUMMYFUNCTION("""COMPUTED_VALUE"""),"It comes from a publication on environmental issues")</f>
        <v>It comes from a publication on environmental issues</v>
      </c>
      <c r="C64" s="1" t="str">
        <f>IFERROR(__xludf.DUMMYFUNCTION("""COMPUTED_VALUE"""),"MIXED")</f>
        <v>MIXED</v>
      </c>
      <c r="D64" s="1" t="str">
        <f>IFERROR(__xludf.DUMMYFUNCTION("""COMPUTED_VALUE"""),"Shift to Renewables")</f>
        <v>Shift to Renewables</v>
      </c>
      <c r="E64" s="1" t="str">
        <f>IFERROR(__xludf.DUMMYFUNCTION("""COMPUTED_VALUE"""),"Mixed article with arguments for why Renewable transition is bad")</f>
        <v>Mixed article with arguments for why Renewable transition is bad</v>
      </c>
      <c r="F64" s="1"/>
      <c r="G64" s="1" t="str">
        <f>IFERROR(__xludf.DUMMYFUNCTION("""COMPUTED_VALUE"""),"Parkin WSU")</f>
        <v>Parkin WSU</v>
      </c>
      <c r="H64" s="1" t="str">
        <f>IFERROR(__xludf.DUMMYFUNCTION("""COMPUTED_VALUE"""),"Wave 2 (due Nov. 8)")</f>
        <v>Wave 2 (due Nov. 8)</v>
      </c>
      <c r="I64" s="6" t="str">
        <f>IFERROR(__xludf.DUMMYFUNCTION("""COMPUTED_VALUE"""),"https://drive.google.com/open?id=1QQdG5loTr9Rzjah__PpUd29Kfr61VrEH")</f>
        <v>https://drive.google.com/open?id=1QQdG5loTr9Rzjah__PpUd29Kfr61VrEH</v>
      </c>
    </row>
    <row r="65">
      <c r="A65" s="1" t="str">
        <f>IFERROR(__xludf.DUMMYFUNCTION("""COMPUTED_VALUE"""),"Contreras, J. Ruiz, A. Campos-Celador, A. Fjellheim, E. (2023) Energy Colonialism: A category to analyse the corporate energy transition in the global south and north, Land, Volume 12, Issue 6, https://doi.org/10.3390/land12061241  ")</f>
        <v>Contreras, J. Ruiz, A. Campos-Celador, A. Fjellheim, E. (2023) Energy Colonialism: A category to analyse the corporate energy transition in the global south and north, Land, Volume 12, Issue 6, https://doi.org/10.3390/land12061241  </v>
      </c>
      <c r="B65" s="1" t="str">
        <f>IFERROR(__xludf.DUMMYFUNCTION("""COMPUTED_VALUE"""),"Josefa Sánchez Contreras is a researcher in the Department of Sociology at the University of Granada with an MSc in Latin American Studies at the National Autonomous University of Mexico.Alberto Matarán Ruiz is a Professor of Urban and Spatial Planning at"&amp;" the University of Granada with a Ph.D. in Environmental Sciences obtained in 2005. Álvaro Campos Celador is an Associate Professor and Researcher at the University of the Basque Country (UPV-EHU). He graduated as a Mechanical Engineer in 2008. Eva Maria "&amp;"Fjellheim is a southern Saami researcher at the Arctic University of Norway. Her research focuses on indigenous peoples’ rights, with an emphasis on the study of “green colonialism”: a land-grabbing strategy legitimized by hegemonic climate change policie"&amp;"s that perpetuate relations of domination and coloniality.   ")</f>
        <v>Josefa Sánchez Contreras is a researcher in the Department of Sociology at the University of Granada with an MSc in Latin American Studies at the National Autonomous University of Mexico.Alberto Matarán Ruiz is a Professor of Urban and Spatial Planning at the University of Granada with a Ph.D. in Environmental Sciences obtained in 2005. Álvaro Campos Celador is an Associate Professor and Researcher at the University of the Basque Country (UPV-EHU). He graduated as a Mechanical Engineer in 2008. Eva Maria Fjellheim is a southern Saami researcher at the Arctic University of Norway. Her research focuses on indigenous peoples’ rights, with an emphasis on the study of “green colonialism”: a land-grabbing strategy legitimized by hegemonic climate change policies that perpetuate relations of domination and coloniality.   </v>
      </c>
      <c r="C65" s="1" t="str">
        <f>IFERROR(__xludf.DUMMYFUNCTION("""COMPUTED_VALUE"""),"NEGATIVE")</f>
        <v>NEGATIVE</v>
      </c>
      <c r="D65" s="1" t="str">
        <f>IFERROR(__xludf.DUMMYFUNCTION("""COMPUTED_VALUE"""),"REM Disad/Setcol K")</f>
        <v>REM Disad/Setcol K</v>
      </c>
      <c r="E65" s="1" t="str">
        <f>IFERROR(__xludf.DUMMYFUNCTION("""COMPUTED_VALUE"""),"The article argues against the possibility of a just energy transition, and gives case study examples of colonial exploitation in the search for greener energy. This is an extension of the REM arguments, that seeks to add further depth to the argument and"&amp;" tie it with existing literature on colonialism. ")</f>
        <v>The article argues against the possibility of a just energy transition, and gives case study examples of colonial exploitation in the search for greener energy. This is an extension of the REM arguments, that seeks to add further depth to the argument and tie it with existing literature on colonialism. </v>
      </c>
      <c r="F65" s="1" t="str">
        <f>IFERROR(__xludf.DUMMYFUNCTION("""COMPUTED_VALUE"""),"This article aims to define the category of energy colonialism in order to analyse the conflicts
that are arising due to the deployment of renewable energy megaprojects in the Global South and in
the peripheries of the Global North. First, the limits of t"&amp;"he corporate energy transition are questioned,
and based on an exhaustive bibliographic review, the category of energy colonialism is formulated
along with six dimensions that characterise it: geopolitical; economic and financial inequalities; power,
viol"&amp;"ence, and decision making; land grabbing and dispossession; impacts on territories and commons;
resistance and socio-territorial conflicts. Based on this framework, we analyse and juxtapose different
expressions of energy colonialism in four case studies;"&amp;" the isthmus of Tehuantepec (Oaxaca, Mexico),
the territories of Western Sahara occupied by Morocco, the Saami territory in Norway, and the rural
territories of Spain. The results from this study allow us to conclude that energy colonialism is a
useful co"&amp;"ncept for understanding and critiquing the effects of the corporate energy transition and
establishing a base for grassroots and decolonial alternatives in both the Global North and South.")</f>
        <v>This article aims to define the category of energy colonialism in order to analyse the conflicts
that are arising due to the deployment of renewable energy megaprojects in the Global South and in
the peripheries of the Global North. First, the limits of the corporate energy transition are questioned,
and based on an exhaustive bibliographic review, the category of energy colonialism is formulated
along with six dimensions that characterise it: geopolitical; economic and financial inequalities; power,
violence, and decision making; land grabbing and dispossession; impacts on territories and commons;
resistance and socio-territorial conflicts. Based on this framework, we analyse and juxtapose different
expressions of energy colonialism in four case studies; the isthmus of Tehuantepec (Oaxaca, Mexico),
the territories of Western Sahara occupied by Morocco, the Saami territory in Norway, and the rural
territories of Spain. The results from this study allow us to conclude that energy colonialism is a
useful concept for understanding and critiquing the effects of the corporate energy transition and
establishing a base for grassroots and decolonial alternatives in both the Global North and South.</v>
      </c>
      <c r="G65" s="1" t="str">
        <f>IFERROR(__xludf.DUMMYFUNCTION("""COMPUTED_VALUE"""),"King WWU")</f>
        <v>King WWU</v>
      </c>
      <c r="H65" s="1" t="str">
        <f>IFERROR(__xludf.DUMMYFUNCTION("""COMPUTED_VALUE"""),"Wave 2 (due Nov. 8)")</f>
        <v>Wave 2 (due Nov. 8)</v>
      </c>
      <c r="I65" s="6" t="str">
        <f>IFERROR(__xludf.DUMMYFUNCTION("""COMPUTED_VALUE"""),"https://drive.google.com/open?id=1vBh_4_MbeBECukbo_AoMij-zYss8x8zk")</f>
        <v>https://drive.google.com/open?id=1vBh_4_MbeBECukbo_AoMij-zYss8x8zk</v>
      </c>
    </row>
    <row r="66">
      <c r="A66" s="1" t="str">
        <f>IFERROR(__xludf.DUMMYFUNCTION("""COMPUTED_VALUE"""),"Tanuro, D. (2017). The right’s green awakening. Jacobin. https://jacobin.com/2017/04/climate-change-cop21-tax-dividend-cap-trade-emissions-capitalism/ ")</f>
        <v>Tanuro, D. (2017). The right’s green awakening. Jacobin. https://jacobin.com/2017/04/climate-change-cop21-tax-dividend-cap-trade-emissions-capitalism/ </v>
      </c>
      <c r="B66" s="1" t="str">
        <f>IFERROR(__xludf.DUMMYFUNCTION("""COMPUTED_VALUE"""),"Daniel Tanuro is a certified agriculturalist, an ecosocialist activist, and the author of The Impossibility of Green Capitalism")</f>
        <v>Daniel Tanuro is a certified agriculturalist, an ecosocialist activist, and the author of The Impossibility of Green Capitalism</v>
      </c>
      <c r="C66" s="1" t="str">
        <f>IFERROR(__xludf.DUMMYFUNCTION("""COMPUTED_VALUE"""),"NEGATIVE")</f>
        <v>NEGATIVE</v>
      </c>
      <c r="D66" s="1" t="str">
        <f>IFERROR(__xludf.DUMMYFUNCTION("""COMPUTED_VALUE"""),"Carbon Tax")</f>
        <v>Carbon Tax</v>
      </c>
      <c r="E66" s="1" t="str">
        <f>IFERROR(__xludf.DUMMYFUNCTION("""COMPUTED_VALUE"""),"Carbon taxes are not a step in the right direction. Market-based approaches trade off with more effective command and control approaches (i.e. regulations) and mystify the root cause of the climate crisis: capitalist obsession with accumulation and consum"&amp;"ption.")</f>
        <v>Carbon taxes are not a step in the right direction. Market-based approaches trade off with more effective command and control approaches (i.e. regulations) and mystify the root cause of the climate crisis: capitalist obsession with accumulation and consumption.</v>
      </c>
      <c r="F66" s="1"/>
      <c r="G66" s="1" t="str">
        <f>IFERROR(__xludf.DUMMYFUNCTION("""COMPUTED_VALUE"""),"Lemuel (CSUN)")</f>
        <v>Lemuel (CSUN)</v>
      </c>
      <c r="H66" s="1" t="str">
        <f>IFERROR(__xludf.DUMMYFUNCTION("""COMPUTED_VALUE"""),"Wave 3 (Due Dec. 27)")</f>
        <v>Wave 3 (Due Dec. 27)</v>
      </c>
      <c r="I66" s="6" t="str">
        <f>IFERROR(__xludf.DUMMYFUNCTION("""COMPUTED_VALUE"""),"https://drive.google.com/open?id=1a0UFtMh_xF7JWA4VerSHquxGDfAdCa48")</f>
        <v>https://drive.google.com/open?id=1a0UFtMh_xF7JWA4VerSHquxGDfAdCa48</v>
      </c>
    </row>
    <row r="67">
      <c r="A67" s="1" t="str">
        <f>IFERROR(__xludf.DUMMYFUNCTION("""COMPUTED_VALUE"""),"Skinner, C. (2021). Central Banks and Climate Change")</f>
        <v>Skinner, C. (2021). Central Banks and Climate Change</v>
      </c>
      <c r="B67" s="1" t="str">
        <f>IFERROR(__xludf.DUMMYFUNCTION("""COMPUTED_VALUE"""),"Assistant Professor, The Wharton School of the University of Pennsylvania")</f>
        <v>Assistant Professor, The Wharton School of the University of Pennsylvania</v>
      </c>
      <c r="C67" s="1" t="str">
        <f>IFERROR(__xludf.DUMMYFUNCTION("""COMPUTED_VALUE"""),"AFFIRMATIVE")</f>
        <v>AFFIRMATIVE</v>
      </c>
      <c r="D67" s="1" t="str">
        <f>IFERROR(__xludf.DUMMYFUNCTION("""COMPUTED_VALUE"""),"Carbon Bubble DA/Green Finance CP")</f>
        <v>Carbon Bubble DA/Green Finance CP</v>
      </c>
      <c r="E67" s="1" t="str">
        <f>IFERROR(__xludf.DUMMYFUNCTION("""COMPUTED_VALUE"""),"Provides answers to the Green Finance CP. Argues that the CP would have limited legal authority to act and there are associated disadvantages to politicizing the Federal Reserve.")</f>
        <v>Provides answers to the Green Finance CP. Argues that the CP would have limited legal authority to act and there are associated disadvantages to politicizing the Federal Reserve.</v>
      </c>
      <c r="F67" s="1" t="str">
        <f>IFERROR(__xludf.DUMMYFUNCTION("""COMPUTED_VALUE"""),"Central banks are increasingly called upon to address climate change. Proposals for central bank action on climate change range from programs of “green” quantitative easing to increases in risk-based capital requirements meant to deter banks from lending "&amp;"to climate-unfriendly business. Politicians and academics alike have urged climate risk as both macroeconomic and financial stability risk. Relative to counterparts abroad, the U.S. central bank—the Federal Reserve—has been more measured in its response.
"&amp;"This Article offers a legal explanation why. It urges that, despite the substantive importance of climate change, the U.S. Federal Reserve presently has relatively limited legal authority to address that problem head-on. Drawing on insights from corporate"&amp;" finance and macroeconomics, the Article constructs a legal framework—stitching together a variety of Fed laws, regulations, and precedents of practice—to discern why many aspects of climate change sit outside the Fed’s legal remit today.
Ultimately, the "&amp;"Article tackles one of the most pressing rule-of-law questions facing the Fed today: What are the limits of the Fed’s mandates to address climate change and how far can the Fed press beyond those mandates to make the economy greener? In doing so, the Arti"&amp;"cle prompts reflection on the ideal role of the Fed vis-à-vis the fiscal authority of the Treasury, the political actors in Congress, and the Chief Executive.")</f>
        <v>Central banks are increasingly called upon to address climate change. Proposals for central bank action on climate change range from programs of “green” quantitative easing to increases in risk-based capital requirements meant to deter banks from lending to climate-unfriendly business. Politicians and academics alike have urged climate risk as both macroeconomic and financial stability risk. Relative to counterparts abroad, the U.S. central bank—the Federal Reserve—has been more measured in its response.
This Article offers a legal explanation why. It urges that, despite the substantive importance of climate change, the U.S. Federal Reserve presently has relatively limited legal authority to address that problem head-on. Drawing on insights from corporate finance and macroeconomics, the Article constructs a legal framework—stitching together a variety of Fed laws, regulations, and precedents of practice—to discern why many aspects of climate change sit outside the Fed’s legal remit today.
Ultimately, the Article tackles one of the most pressing rule-of-law questions facing the Fed today: What are the limits of the Fed’s mandates to address climate change and how far can the Fed press beyond those mandates to make the economy greener? In doing so, the Article prompts reflection on the ideal role of the Fed vis-à-vis the fiscal authority of the Treasury, the political actors in Congress, and the Chief Executive.</v>
      </c>
      <c r="G67" s="1" t="str">
        <f>IFERROR(__xludf.DUMMYFUNCTION("""COMPUTED_VALUE"""),"Leyba UO.")</f>
        <v>Leyba UO.</v>
      </c>
      <c r="H67" s="1" t="str">
        <f>IFERROR(__xludf.DUMMYFUNCTION("""COMPUTED_VALUE"""),"Wave 3 (Due Dec. 27)")</f>
        <v>Wave 3 (Due Dec. 27)</v>
      </c>
      <c r="I67" s="6" t="str">
        <f>IFERROR(__xludf.DUMMYFUNCTION("""COMPUTED_VALUE"""),"https://drive.google.com/open?id=1SOj-jJOEaCk4T3U1hMzykaldVn_jlcU4")</f>
        <v>https://drive.google.com/open?id=1SOj-jJOEaCk4T3U1hMzykaldVn_jlcU4</v>
      </c>
    </row>
    <row r="68">
      <c r="A68" s="1" t="str">
        <f>IFERROR(__xludf.DUMMYFUNCTION("""COMPUTED_VALUE"""),"Regunberg, A. (2023) The Federal Reserve's Responsibilities in a Warming World: A Normative Case and Strategic Primer for Fed Action on Climate Change. Ecology Law Quarterly, Vol 50:181.")</f>
        <v>Regunberg, A. (2023) The Federal Reserve's Responsibilities in a Warming World: A Normative Case and Strategic Primer for Fed Action on Climate Change. Ecology Law Quarterly, Vol 50:181.</v>
      </c>
      <c r="B68" s="1" t="str">
        <f>IFERROR(__xludf.DUMMYFUNCTION("""COMPUTED_VALUE"""),"Law clerk to the Honorable Mary S. McElroy, United States District Court for the District of Rhode Island; incoming Senior Climate Policy Advocate at Public Citizen.")</f>
        <v>Law clerk to the Honorable Mary S. McElroy, United States District Court for the District of Rhode Island; incoming Senior Climate Policy Advocate at Public Citizen.</v>
      </c>
      <c r="C68" s="1" t="str">
        <f>IFERROR(__xludf.DUMMYFUNCTION("""COMPUTED_VALUE"""),"NEGATIVE")</f>
        <v>NEGATIVE</v>
      </c>
      <c r="D68" s="1" t="str">
        <f>IFERROR(__xludf.DUMMYFUNCTION("""COMPUTED_VALUE"""),"Carbon Bubble DA/Green Finance CP")</f>
        <v>Carbon Bubble DA/Green Finance CP</v>
      </c>
      <c r="E68" s="1" t="str">
        <f>IFERROR(__xludf.DUMMYFUNCTION("""COMPUTED_VALUE"""),"Provides the main solvency advocate for the green finance counterplan.")</f>
        <v>Provides the main solvency advocate for the green finance counterplan.</v>
      </c>
      <c r="F68" s="1" t="str">
        <f>IFERROR(__xludf.DUMMYFUNCTION("""COMPUTED_VALUE"""),"According to one study, by the year 2100, the cost of unchecked climate
change could be as high as $551 trillion. This is broader money than currently
exists on earth, yet to date the Federal Reserve has failed to take any meaningful
action on climate. Th"&amp;"is Article argues that the Fed not only has the authority to
insulate our financial system from the contagious collapse of a dead-end fossil
fuel industry, but also that it cannot act in accordance with its congressional
mandates and statutory obligations"&amp;" without doing so. Through legal and
historical analysis, this Article examines how the structure of Fed
independence—far from requiring the Fed to eschew climate policy, as many
have claimed—militates for the Fed to take a leadership role in protecting t"&amp;"he
U.S. economy from the ravages of climate change. Finally, after describing the
regulatory and monetary-policy strategies the Fed could utilize to address
climate threats, this Article analyzes the resistance of these tools to judicial
review. This revi"&amp;"ew results in the somewhat paradoxical strategic
recommendation that the Fed’s use of its more sweeping monetary powers may,
in fact, be better able to withstand challenge than the deployment of its arguably
less controversial regulatory tools.")</f>
        <v>According to one study, by the year 2100, the cost of unchecked climate
change could be as high as $551 trillion. This is broader money than currently
exists on earth, yet to date the Federal Reserve has failed to take any meaningful
action on climate. This Article argues that the Fed not only has the authority to
insulate our financial system from the contagious collapse of a dead-end fossil
fuel industry, but also that it cannot act in accordance with its congressional
mandates and statutory obligations without doing so. Through legal and
historical analysis, this Article examines how the structure of Fed
independence—far from requiring the Fed to eschew climate policy, as many
have claimed—militates for the Fed to take a leadership role in protecting the
U.S. economy from the ravages of climate change. Finally, after describing the
regulatory and monetary-policy strategies the Fed could utilize to address
climate threats, this Article analyzes the resistance of these tools to judicial
review. This review results in the somewhat paradoxical strategic
recommendation that the Fed’s use of its more sweeping monetary powers may,
in fact, be better able to withstand challenge than the deployment of its arguably
less controversial regulatory tools.</v>
      </c>
      <c r="G68" s="1" t="str">
        <f>IFERROR(__xludf.DUMMYFUNCTION("""COMPUTED_VALUE"""),"Leyba UO")</f>
        <v>Leyba UO</v>
      </c>
      <c r="H68" s="1" t="str">
        <f>IFERROR(__xludf.DUMMYFUNCTION("""COMPUTED_VALUE"""),"Wave 3 (Due Dec. 27)")</f>
        <v>Wave 3 (Due Dec. 27)</v>
      </c>
      <c r="I68" s="6" t="str">
        <f>IFERROR(__xludf.DUMMYFUNCTION("""COMPUTED_VALUE"""),"https://drive.google.com/open?id=1LXt_nunC5PJtZ7dXMeQ3XaUy4dyYS5XI")</f>
        <v>https://drive.google.com/open?id=1LXt_nunC5PJtZ7dXMeQ3XaUy4dyYS5XI</v>
      </c>
    </row>
    <row r="69">
      <c r="A69" s="1" t="str">
        <f>IFERROR(__xludf.DUMMYFUNCTION("""COMPUTED_VALUE"""),"Carattini, Stefano and Sen, Suphi, Carbon Taxes and Stranded Assets: Evidence from Washington State (2019). CESifo Working Paper No. 7785.")</f>
        <v>Carattini, Stefano and Sen, Suphi, Carbon Taxes and Stranded Assets: Evidence from Washington State (2019). CESifo Working Paper No. 7785.</v>
      </c>
      <c r="B69" s="1" t="str">
        <f>IFERROR(__xludf.DUMMYFUNCTION("""COMPUTED_VALUE"""),"Caratini is at Georgia State University and Sen is at the Leibniz Institute for Economic Research at the University of Munich")</f>
        <v>Caratini is at Georgia State University and Sen is at the Leibniz Institute for Economic Research at the University of Munich</v>
      </c>
      <c r="C69" s="1" t="str">
        <f>IFERROR(__xludf.DUMMYFUNCTION("""COMPUTED_VALUE"""),"NEGATIVE")</f>
        <v>NEGATIVE</v>
      </c>
      <c r="D69" s="1" t="str">
        <f>IFERROR(__xludf.DUMMYFUNCTION("""COMPUTED_VALUE"""),"Carbon Bubble DA")</f>
        <v>Carbon Bubble DA</v>
      </c>
      <c r="E69" s="1" t="str">
        <f>IFERROR(__xludf.DUMMYFUNCTION("""COMPUTED_VALUE"""),"Provides links to the main aff areas in the topic")</f>
        <v>Provides links to the main aff areas in the topic</v>
      </c>
      <c r="F69" s="1" t="str">
        <f>IFERROR(__xludf.DUMMYFUNCTION("""COMPUTED_VALUE"""),"The climate challenge requires ambitious climate policy. A sudden increase in carbon prices can
lead to major shocks to the stock market. Some assets will lose part of their value, others all of
it, and hence become “stranded”. If the markets are not read"&amp;"y to absorb the shock, a financial
crisis could follow. How well investors anticipate, and thus how large these shocks may be, is
an empirical question. We analyze stock market reactions to the rejection of two carbon tax
initiatives by voters in Washingt"&amp;"on state. We build proper counterfactuals for Washington state
firms and find that these modest policy proposals with limited jurisdiction caused substantial
readjustments on the stock market, especially for carbon-intensive stocks. Our results reinforce
"&amp;"concerns about “stranded assets” and the risk of financial contagion. Our policy implications
support the inclusion of transition risks in macroprudential policymaking and carbon disclosure
and climate stress tests as the main policy responses.")</f>
        <v>The climate challenge requires ambitious climate policy. A sudden increase in carbon prices can
lead to major shocks to the stock market. Some assets will lose part of their value, others all of
it, and hence become “stranded”. If the markets are not ready to absorb the shock, a financial
crisis could follow. How well investors anticipate, and thus how large these shocks may be, is
an empirical question. We analyze stock market reactions to the rejection of two carbon tax
initiatives by voters in Washington state. We build proper counterfactuals for Washington state
firms and find that these modest policy proposals with limited jurisdiction caused substantial
readjustments on the stock market, especially for carbon-intensive stocks. Our results reinforce
concerns about “stranded assets” and the risk of financial contagion. Our policy implications
support the inclusion of transition risks in macroprudential policymaking and carbon disclosure
and climate stress tests as the main policy responses.</v>
      </c>
      <c r="G69" s="1" t="str">
        <f>IFERROR(__xludf.DUMMYFUNCTION("""COMPUTED_VALUE"""),"Leyba UO")</f>
        <v>Leyba UO</v>
      </c>
      <c r="H69" s="1" t="str">
        <f>IFERROR(__xludf.DUMMYFUNCTION("""COMPUTED_VALUE"""),"Wave 3 (Due Dec. 27)")</f>
        <v>Wave 3 (Due Dec. 27)</v>
      </c>
      <c r="I69" s="6" t="str">
        <f>IFERROR(__xludf.DUMMYFUNCTION("""COMPUTED_VALUE"""),"https://drive.google.com/open?id=1cZXt1cWkk8o1iQPu8b2qZtNnxDZBk4s4")</f>
        <v>https://drive.google.com/open?id=1cZXt1cWkk8o1iQPu8b2qZtNnxDZBk4s4</v>
      </c>
    </row>
    <row r="70">
      <c r="A70" s="1" t="str">
        <f>IFERROR(__xludf.DUMMYFUNCTION("""COMPUTED_VALUE"""),"Sen, S., &amp; Von Schickfus, M. T. (2020). Climate policy, stranded assets, and investors’ expectations. Journal of Environmental Economics and Management, 100, 102277.")</f>
        <v>Sen, S., &amp; Von Schickfus, M. T. (2020). Climate policy, stranded assets, and investors’ expectations. Journal of Environmental Economics and Management, 100, 102277.</v>
      </c>
      <c r="B70" s="1" t="str">
        <f>IFERROR(__xludf.DUMMYFUNCTION("""COMPUTED_VALUE"""),"Sen is a junior fellow at ifo Institute - Leibniz Institute for Economic Research at the University of Munich, Von Schickfus is a climate economist at ifo Institute - Leibniz Institute for Economic Research at the University of Munich ")</f>
        <v>Sen is a junior fellow at ifo Institute - Leibniz Institute for Economic Research at the University of Munich, Von Schickfus is a climate economist at ifo Institute - Leibniz Institute for Economic Research at the University of Munich </v>
      </c>
      <c r="C70" s="1" t="str">
        <f>IFERROR(__xludf.DUMMYFUNCTION("""COMPUTED_VALUE"""),"AFFIRMATIVE")</f>
        <v>AFFIRMATIVE</v>
      </c>
      <c r="D70" s="1" t="str">
        <f>IFERROR(__xludf.DUMMYFUNCTION("""COMPUTED_VALUE"""),"Carbon Bubble")</f>
        <v>Carbon Bubble</v>
      </c>
      <c r="E70" s="1" t="str">
        <f>IFERROR(__xludf.DUMMYFUNCTION("""COMPUTED_VALUE"""),"Provides support that fossil fuel assets at risk of being stranded due to climate mitigation policies and argues politicians will bail out these assets at great expense")</f>
        <v>Provides support that fossil fuel assets at risk of being stranded due to climate mitigation policies and argues politicians will bail out these assets at great expense</v>
      </c>
      <c r="F70" s="1" t="str">
        <f>IFERROR(__xludf.DUMMYFUNCTION("""COMPUTED_VALUE"""),"Climate policies to keep global warming below 2°C might render some of the world's fossil fuels and related infrastructure worthless prior to the end of their economic life time. Therefore, some energy-sector assets are at risk of becoming stranded. This "&amp;"paper investigates whether and how investors price in this risk of asset stranding. We exploit the gradual development of a German climate policy proposal aimed at reducing electricity production from coal and analyze its effect on the valuation of energy"&amp;" utilities. We find that investors take stranded asset risk into consideration, but that they also expect a financial compensation for their stranded assets.")</f>
        <v>Climate policies to keep global warming below 2°C might render some of the world's fossil fuels and related infrastructure worthless prior to the end of their economic life time. Therefore, some energy-sector assets are at risk of becoming stranded. This paper investigates whether and how investors price in this risk of asset stranding. We exploit the gradual development of a German climate policy proposal aimed at reducing electricity production from coal and analyze its effect on the valuation of energy utilities. We find that investors take stranded asset risk into consideration, but that they also expect a financial compensation for their stranded assets.</v>
      </c>
      <c r="G70" s="1" t="str">
        <f>IFERROR(__xludf.DUMMYFUNCTION("""COMPUTED_VALUE"""),"Nagy Oregon")</f>
        <v>Nagy Oregon</v>
      </c>
      <c r="H70" s="1" t="str">
        <f>IFERROR(__xludf.DUMMYFUNCTION("""COMPUTED_VALUE"""),"Wave 3 (Due Dec. 27)")</f>
        <v>Wave 3 (Due Dec. 27)</v>
      </c>
      <c r="I70" s="6" t="str">
        <f>IFERROR(__xludf.DUMMYFUNCTION("""COMPUTED_VALUE"""),"https://drive.google.com/open?id=1-itfCbE0Gdc4CrOioZjpZxP_uABaRdZC")</f>
        <v>https://drive.google.com/open?id=1-itfCbE0Gdc4CrOioZjpZxP_uABaRdZC</v>
      </c>
    </row>
    <row r="71">
      <c r="A71" s="1" t="str">
        <f>IFERROR(__xludf.DUMMYFUNCTION("""COMPUTED_VALUE"""),"Scafetta, N. (2024). Impacts and Risks of ‘Realistic’ Global Warming Projections for the 21st Century, Geoscience Frontiers, 15(2), 1-25. ")</f>
        <v>Scafetta, N. (2024). Impacts and Risks of ‘Realistic’ Global Warming Projections for the 21st Century, Geoscience Frontiers, 15(2), 1-25. </v>
      </c>
      <c r="B71" s="1" t="str">
        <f>IFERROR(__xludf.DUMMYFUNCTION("""COMPUTED_VALUE"""),"Nicola Scafetta is a research scientist at the University of Napoli Federico II. He was formerly at the ACRIM Lab group and an adjunct assistant professor in the physics department at Duke University. His research interests are in theoretical and applied "&amp;"statistics and nonlinear models of complex processes. He does extensive research in climate policy, solar physics, and complex systems. ")</f>
        <v>Nicola Scafetta is a research scientist at the University of Napoli Federico II. He was formerly at the ACRIM Lab group and an adjunct assistant professor in the physics department at Duke University. His research interests are in theoretical and applied statistics and nonlinear models of complex processes. He does extensive research in climate policy, solar physics, and complex systems. </v>
      </c>
      <c r="C71" s="1" t="str">
        <f>IFERROR(__xludf.DUMMYFUNCTION("""COMPUTED_VALUE"""),"NEGATIVE")</f>
        <v>NEGATIVE</v>
      </c>
      <c r="D71" s="1" t="str">
        <f>IFERROR(__xludf.DUMMYFUNCTION("""COMPUTED_VALUE"""),"Warming Defense")</f>
        <v>Warming Defense</v>
      </c>
      <c r="E71" s="1" t="str">
        <f>IFERROR(__xludf.DUMMYFUNCTION("""COMPUTED_VALUE"""),"Impact defense to warming scenarios. Discusses the realities of climate change, they will not be dramatic events and will slowly happen over time, argues humans have adaptive nature and will create mitigation policies to lessen the damage of climate chang"&amp;"e, going above 2 degrees will be a mild change and challenges this notion from the IPCC")</f>
        <v>Impact defense to warming scenarios. Discusses the realities of climate change, they will not be dramatic events and will slowly happen over time, argues humans have adaptive nature and will create mitigation policies to lessen the damage of climate change, going above 2 degrees will be a mild change and challenges this notion from the IPCC</v>
      </c>
      <c r="F71" s="1" t="str">
        <f>IFERROR(__xludf.DUMMYFUNCTION("""COMPUTED_VALUE"""),"The IPCC AR6 assessment of the impacts and risks associated with projected climate changes for the 21st century is both alarming and ambiguous. According to computer projections, global surface temperature may warm from 1.3 C to 8.0 C by 2100, depending o"&amp;"n the global climate model (GCM) and the shared socioeconomic pathway (SSP) scenario used for the simulations. Actual climate-change hazards are estimated to be high and very high if the global surface temperature rises, respectively, more than 2.0 C and "&amp;"3.0 C above pre-industrial levels. Recent studies, however, showed that a substantial number of CMIP6 GCMs run ‘‘too hot” because they appear to be too sensitive to radiative forcing, and that the high/extreme emission scenarios SSP3-7.0 and SSP5-8.5 are "&amp;"to be rejected because judged to be unlikely and highly unlikely, respectively. Yet, the IPCC AR6 mostly focused on such alarmistic scenarios for risk assessments. This paper examines the impacts and risks of ‘‘realistic” climate change projections for th"&amp;"e 21st century generated by assessing the theoretical models and integrating them with the existing empirical knowledge on global warming and the various natural cycles of climate change that have been recorded by a variety of scientists and historians. T"&amp;"his is achieved by combining the SSP2-4.5 scenario (which is the most likely SSP according to the current policies reported by the International Energy Agency) and empirically optimized climate modeling. According to recent research, the GCM macroensemble"&amp;" that best hindcast the global surface warming observed from 1980 to 1990 to 2012–2022 should be made up of models that are characterized by a low equilibrium climate sensitivity (ECS) (1.5 C &lt; ECS 3.0 C), in contrast to the IPCC AR6 likely and very likel"&amp;"y ECS ranges at 2.5–4.0 C and 2.05.0 C, respectively. I show that the low-ECS macro-GCM with the SSP2-4.5 scenario projects a global surface temperature warming of 1.68–3.09 Cby 2080–2100 instead of1.98–3.82 Cobtained with theGCMs with ECS in the 2.5–4.0 "&amp;"C range. However, if the global surface temperature records are affected by significant non-climatic warm biases — as suggested by satellite-based lower troposphere temperature records and current studies on urban heat island effects — the same climate si"&amp;"mulations should be scaled down by about 30%, resulting in a warming of about 1.18–2.16 C by 2080–2100. Furthermore, similar moderate warming estimates (1.15–2.52 C) are also projected by alternative empirically derived models that aim to recreate the dec"&amp;"adal-to-millennial natural climatic oscillations, which the GCMs do not reproduce. The proposed methodologies aim to simulate hypothetical models supposed to optimally hindcast the actual available data. The obtained climate projections show that the expe"&amp;"cted global surface warming for the 21st-century will likely be mild, that is, no more than 2.5–3.0 C and, on average, likely below the 2.0 C threshold. This should allow for the mitigation and management of the most dangerous climate-change related hazar"&amp;"ds through appropriate low-cost adaptation policies. In conclusion, enforcing expensive decarbonization and net-zero emission scenarios, such as SSP1-2.6, is not required because the Paris Agreement temperature target of keeping global warming &lt; 2 C throu"&amp;"ghout the 21st century should be compatible also with moderate and pragmatic shared socioeconomic pathways such as the SSP2-4.5")</f>
        <v>The IPCC AR6 assessment of the impacts and risks associated with projected climate changes for the 21st century is both alarming and ambiguous. According to computer projections, global surface temperature may warm from 1.3 C to 8.0 C by 2100, depending on the global climate model (GCM) and the shared socioeconomic pathway (SSP) scenario used for the simulations. Actual climate-change hazards are estimated to be high and very high if the global surface temperature rises, respectively, more than 2.0 C and 3.0 C above pre-industrial levels. Recent studies, however, showed that a substantial number of CMIP6 GCMs run ‘‘too hot” because they appear to be too sensitive to radiative forcing, and that the high/extreme emission scenarios SSP3-7.0 and SSP5-8.5 are to be rejected because judged to be unlikely and highly unlikely, respectively. Yet, the IPCC AR6 mostly focused on such alarmistic scenarios for risk assessments. This paper examines the impacts and risks of ‘‘realistic” climate change projections for the 21st century generated by assessing the theoretical models and integrating them with the existing empirical knowledge on global warming and the various natural cycles of climate change that have been recorded by a variety of scientists and historians. This is achieved by combining the SSP2-4.5 scenario (which is the most likely SSP according to the current policies reported by the International Energy Agency) and empirically optimized climate modeling. According to recent research, the GCM macroensemble that best hindcast the global surface warming observed from 1980 to 1990 to 2012–2022 should be made up of models that are characterized by a low equilibrium climate sensitivity (ECS) (1.5 C &lt; ECS 3.0 C), in contrast to the IPCC AR6 likely and very likely ECS ranges at 2.5–4.0 C and 2.05.0 C, respectively. I show that the low-ECS macro-GCM with the SSP2-4.5 scenario projects a global surface temperature warming of 1.68–3.09 Cby 2080–2100 instead of1.98–3.82 Cobtained with theGCMs with ECS in the 2.5–4.0 C range. However, if the global surface temperature records are affected by significant non-climatic warm biases — as suggested by satellite-based lower troposphere temperature records and current studies on urban heat island effects — the same climate simulations should be scaled down by about 30%, resulting in a warming of about 1.18–2.16 C by 2080–2100. Furthermore, similar moderate warming estimates (1.15–2.52 C) are also projected by alternative empirically derived models that aim to recreate the decadal-to-millennial natural climatic oscillations, which the GCMs do not reproduce. The proposed methodologies aim to simulate hypothetical models supposed to optimally hindcast the actual available data. The obtained climate projections show that the expected global surface warming for the 21st-century will likely be mild, that is, no more than 2.5–3.0 C and, on average, likely below the 2.0 C threshold. This should allow for the mitigation and management of the most dangerous climate-change related hazards through appropriate low-cost adaptation policies. In conclusion, enforcing expensive decarbonization and net-zero emission scenarios, such as SSP1-2.6, is not required because the Paris Agreement temperature target of keeping global warming &lt; 2 C throughout the 21st century should be compatible also with moderate and pragmatic shared socioeconomic pathways such as the SSP2-4.5</v>
      </c>
      <c r="G71" s="1" t="str">
        <f>IFERROR(__xludf.DUMMYFUNCTION("""COMPUTED_VALUE"""),"Talamantes WSU")</f>
        <v>Talamantes WSU</v>
      </c>
      <c r="H71" s="1" t="str">
        <f>IFERROR(__xludf.DUMMYFUNCTION("""COMPUTED_VALUE"""),"Wave 3 (Due Dec. 27)")</f>
        <v>Wave 3 (Due Dec. 27)</v>
      </c>
      <c r="I71" s="6" t="str">
        <f>IFERROR(__xludf.DUMMYFUNCTION("""COMPUTED_VALUE"""),"https://drive.google.com/open?id=1kB1xwI1YFg3KxU_VrJT8CZksIy5yTC7e")</f>
        <v>https://drive.google.com/open?id=1kB1xwI1YFg3KxU_VrJT8CZksIy5yTC7e</v>
      </c>
    </row>
    <row r="72">
      <c r="A72" s="1" t="str">
        <f>IFERROR(__xludf.DUMMYFUNCTION("""COMPUTED_VALUE"""),"Gross, S. (2023). Reducing US oil demand, not production, is the way forward for the climate. Brookings Institution.")</f>
        <v>Gross, S. (2023). Reducing US oil demand, not production, is the way forward for the climate. Brookings Institution.</v>
      </c>
      <c r="B72" s="1" t="str">
        <f>IFERROR(__xludf.DUMMYFUNCTION("""COMPUTED_VALUE"""),"Samantha Gross Director - Energy Security and Climate Initiative, Fellow - Foreign Policy, Energy Security and Climate Initiative")</f>
        <v>Samantha Gross Director - Energy Security and Climate Initiative, Fellow - Foreign Policy, Energy Security and Climate Initiative</v>
      </c>
      <c r="C72" s="1" t="str">
        <f>IFERROR(__xludf.DUMMYFUNCTION("""COMPUTED_VALUE"""),"NEGATIVE")</f>
        <v>NEGATIVE</v>
      </c>
      <c r="D72" s="1" t="str">
        <f>IFERROR(__xludf.DUMMYFUNCTION("""COMPUTED_VALUE"""),"Demand side CP")</f>
        <v>Demand side CP</v>
      </c>
      <c r="E72" s="1" t="str">
        <f>IFERROR(__xludf.DUMMYFUNCTION("""COMPUTED_VALUE"""),"Argues that only decreasing demand for fossil fuels can save the climate and provides grounds for a CP, also contributes to neg arguments like offshoring")</f>
        <v>Argues that only decreasing demand for fossil fuels can save the climate and provides grounds for a CP, also contributes to neg arguments like offshoring</v>
      </c>
      <c r="F72" s="1"/>
      <c r="G72" s="1" t="str">
        <f>IFERROR(__xludf.DUMMYFUNCTION("""COMPUTED_VALUE"""),"Mooney Hillsdale")</f>
        <v>Mooney Hillsdale</v>
      </c>
      <c r="H72" s="1" t="str">
        <f>IFERROR(__xludf.DUMMYFUNCTION("""COMPUTED_VALUE"""),"Wave 3 (Due Dec. 27)")</f>
        <v>Wave 3 (Due Dec. 27)</v>
      </c>
      <c r="I72" s="6" t="str">
        <f>IFERROR(__xludf.DUMMYFUNCTION("""COMPUTED_VALUE"""),"https://drive.google.com/open?id=1Q_60OaCRNIshmx_rkgKHPKIXO_4cWOjO")</f>
        <v>https://drive.google.com/open?id=1Q_60OaCRNIshmx_rkgKHPKIXO_4cWOjO</v>
      </c>
    </row>
    <row r="73">
      <c r="A73" s="1" t="str">
        <f>IFERROR(__xludf.DUMMYFUNCTION("""COMPUTED_VALUE"""),"Song, L. (2019) Cap and Trade is Supposed to Solve Climate Change but Oil and Gas Company Emissions are up. Pro Publica")</f>
        <v>Song, L. (2019) Cap and Trade is Supposed to Solve Climate Change but Oil and Gas Company Emissions are up. Pro Publica</v>
      </c>
      <c r="B73" s="1" t="str">
        <f>IFERROR(__xludf.DUMMYFUNCTION("""COMPUTED_VALUE"""),"Lisa Song is a Pulitzer Prize nominated investigative journalist working at the forefront of climate change journalism. She joined ProPublica in 2017 after six years at InsideClimate News, where she covered climate science and environmental health. She wa"&amp;"s part of the reporting team that revealed Exxon’s shift from conducting global warming research to supporting climate denial, a series that was a finalist for the 2016 Pulitzer Prize for public service. From 2013-2014 she reported extensively on air poll"&amp;"ution from Texas’ oil and gas boom as part of a collaboration between several newsrooms. Lisa is a co-author of “The Dilbit Disaster,” which won a Pulitzer for national reporting. She has degrees in earth science and science writing from the Massachusetts"&amp;" Institute of Technology.")</f>
        <v>Lisa Song is a Pulitzer Prize nominated investigative journalist working at the forefront of climate change journalism. She joined ProPublica in 2017 after six years at InsideClimate News, where she covered climate science and environmental health. She was part of the reporting team that revealed Exxon’s shift from conducting global warming research to supporting climate denial, a series that was a finalist for the 2016 Pulitzer Prize for public service. From 2013-2014 she reported extensively on air pollution from Texas’ oil and gas boom as part of a collaboration between several newsrooms. Lisa is a co-author of “The Dilbit Disaster,” which won a Pulitzer for national reporting. She has degrees in earth science and science writing from the Massachusetts Institute of Technology.</v>
      </c>
      <c r="C73" s="1" t="str">
        <f>IFERROR(__xludf.DUMMYFUNCTION("""COMPUTED_VALUE"""),"NEGATIVE")</f>
        <v>NEGATIVE</v>
      </c>
      <c r="D73" s="1" t="str">
        <f>IFERROR(__xludf.DUMMYFUNCTION("""COMPUTED_VALUE"""),"Emissions Trading")</f>
        <v>Emissions Trading</v>
      </c>
      <c r="E73" s="1" t="str">
        <f>IFERROR(__xludf.DUMMYFUNCTION("""COMPUTED_VALUE"""),"Oil and Gas lobbies have lobbied for minimal caps that allowed for an increase in pollution.")</f>
        <v>Oil and Gas lobbies have lobbied for minimal caps that allowed for an increase in pollution.</v>
      </c>
      <c r="F73" s="1" t="str">
        <f>IFERROR(__xludf.DUMMYFUNCTION("""COMPUTED_VALUE"""),"Countries have called California’s cap-and-trade program the answer to
climate change. But it is just as vulnerable to lobbying as any other
legislation. The result: The state’s biggest oil and gas companies have
actually polluted more since it started.")</f>
        <v>Countries have called California’s cap-and-trade program the answer to
climate change. But it is just as vulnerable to lobbying as any other
legislation. The result: The state’s biggest oil and gas companies have
actually polluted more since it started.</v>
      </c>
      <c r="G73" s="1" t="str">
        <f>IFERROR(__xludf.DUMMYFUNCTION("""COMPUTED_VALUE"""),"Leyba, UO")</f>
        <v>Leyba, UO</v>
      </c>
      <c r="H73" s="1" t="str">
        <f>IFERROR(__xludf.DUMMYFUNCTION("""COMPUTED_VALUE"""),"Wave 3 (Due Dec. 27)")</f>
        <v>Wave 3 (Due Dec. 27)</v>
      </c>
      <c r="I73" s="6" t="str">
        <f>IFERROR(__xludf.DUMMYFUNCTION("""COMPUTED_VALUE"""),"https://drive.google.com/open?id=1pDq6086vc-tHEJWFAJGrFeKf36t7oz_a")</f>
        <v>https://drive.google.com/open?id=1pDq6086vc-tHEJWFAJGrFeKf36t7oz_a</v>
      </c>
    </row>
    <row r="74">
      <c r="A74" s="1" t="str">
        <f>IFERROR(__xludf.DUMMYFUNCTION("""COMPUTED_VALUE"""),"Van Den Bergh, J. (2024) Prioritize Carbon Pricing Over Fossil-Fuel Subsidy Reform")</f>
        <v>Van Den Bergh, J. (2024) Prioritize Carbon Pricing Over Fossil-Fuel Subsidy Reform</v>
      </c>
      <c r="B74" s="1" t="str">
        <f>IFERROR(__xludf.DUMMYFUNCTION("""COMPUTED_VALUE"""),"Institute of Environmental Science and Technology, Universitat Autònoma de Barcelona, UAB campus, 08193 Bellaterra, Spain. 2 ICREA, Passeig de Lluís Companys 23, 08010 Barcelona, Spain. 3 School of Business and Economics &amp; Institute of Environmental Studi"&amp;"es, Vrije Universiteit, De Boelelaan 1105, Amsterdam 1081 HV, the Netherlands. 4 Faculty of Technology, Policy and Management, Economics of Technology and Innovation, Delft University of Technology, Jaffalaan 5, 2628 BX Delft, the Netherlands.")</f>
        <v>Institute of Environmental Science and Technology, Universitat Autònoma de Barcelona, UAB campus, 08193 Bellaterra, Spain. 2 ICREA, Passeig de Lluís Companys 23, 08010 Barcelona, Spain. 3 School of Business and Economics &amp; Institute of Environmental Studies, Vrije Universiteit, De Boelelaan 1105, Amsterdam 1081 HV, the Netherlands. 4 Faculty of Technology, Policy and Management, Economics of Technology and Innovation, Delft University of Technology, Jaffalaan 5, 2628 BX Delft, the Netherlands.</v>
      </c>
      <c r="C74" s="1" t="str">
        <f>IFERROR(__xludf.DUMMYFUNCTION("""COMPUTED_VALUE"""),"MIXED")</f>
        <v>MIXED</v>
      </c>
      <c r="D74" s="1" t="str">
        <f>IFERROR(__xludf.DUMMYFUNCTION("""COMPUTED_VALUE"""),"Remove Fossil Fuel Subsidies")</f>
        <v>Remove Fossil Fuel Subsidies</v>
      </c>
      <c r="E74" s="1" t="str">
        <f>IFERROR(__xludf.DUMMYFUNCTION("""COMPUTED_VALUE"""),"Argues that FFS are too minimal to make a dent in emissions. Focus should be on carbon pricing instead.")</f>
        <v>Argues that FFS are too minimal to make a dent in emissions. Focus should be on carbon pricing instead.</v>
      </c>
      <c r="F74" s="1" t="str">
        <f>IFERROR(__xludf.DUMMYFUNCTION("""COMPUTED_VALUE"""),"While many climate activist groups enthusiastically advocate for the removal of fossil-fuel subsidies, we
argue that this overstates both the climate effectiveness and political feasibility of such a strategy.
Through synthesizing information from various"&amp;" global studies, we show that subsidies contribute to a relatively
small portion of climate change and local externality problems, likely accounting for around 1%. We
further argue that reform of fossil-fuel subsidies is hampered by various political and "&amp;"social factors, more
so than the diffusion of carbon pricing. Based on these results, we argue that the far greater problem of
unpriced externalities warrants a redirection or expansion of the enthusiasm for subsidy reform toward
carbon pricing. This make"&amp;"s sense also as subsidy reform and carbon pricing essentially represent two sides
of the same coin since both contribute to climate mitigation by raising fossil-fuel prices.")</f>
        <v>While many climate activist groups enthusiastically advocate for the removal of fossil-fuel subsidies, we
argue that this overstates both the climate effectiveness and political feasibility of such a strategy.
Through synthesizing information from various global studies, we show that subsidies contribute to a relatively
small portion of climate change and local externality problems, likely accounting for around 1%. We
further argue that reform of fossil-fuel subsidies is hampered by various political and social factors, more
so than the diffusion of carbon pricing. Based on these results, we argue that the far greater problem of
unpriced externalities warrants a redirection or expansion of the enthusiasm for subsidy reform toward
carbon pricing. This makes sense also as subsidy reform and carbon pricing essentially represent two sides
of the same coin since both contribute to climate mitigation by raising fossil-fuel prices.</v>
      </c>
      <c r="G74" s="1" t="str">
        <f>IFERROR(__xludf.DUMMYFUNCTION("""COMPUTED_VALUE"""),"Leyba UO")</f>
        <v>Leyba UO</v>
      </c>
      <c r="H74" s="1" t="str">
        <f>IFERROR(__xludf.DUMMYFUNCTION("""COMPUTED_VALUE"""),"Wave 3 (Due Dec. 27)")</f>
        <v>Wave 3 (Due Dec. 27)</v>
      </c>
      <c r="I74" s="6" t="str">
        <f>IFERROR(__xludf.DUMMYFUNCTION("""COMPUTED_VALUE"""),"https://drive.google.com/open?id=1sdF35CcQEeccDFBhHw5sLlItt49bquSR")</f>
        <v>https://drive.google.com/open?id=1sdF35CcQEeccDFBhHw5sLlItt49bquSR</v>
      </c>
    </row>
    <row r="75">
      <c r="A75" s="1" t="str">
        <f>IFERROR(__xludf.DUMMYFUNCTION("""COMPUTED_VALUE"""),"Chyong, C. K. and Shahabuddin, M. (2024). Securing Europe’s Net Zero Path with Flexible LNG. Centre on Regulation in Europe, 1-76. ")</f>
        <v>Chyong, C. K. and Shahabuddin, M. (2024). Securing Europe’s Net Zero Path with Flexible LNG. Centre on Regulation in Europe, 1-76. </v>
      </c>
      <c r="B75" s="1" t="str">
        <f>IFERROR(__xludf.DUMMYFUNCTION("""COMPUTED_VALUE"""),"Chi Kong Chyong is an external associate at the Center on Global Energy Policy at Columbia University. He is an applied energy economist and policy analyst with a strong background and more than 15 years of experience in applications of economics and oper"&amp;"ational research methods to energy and climate policy questions. Muntasir Shahabuddin is chemical engineer at the Worchester Polytechnic Institute. ")</f>
        <v>Chi Kong Chyong is an external associate at the Center on Global Energy Policy at Columbia University. He is an applied energy economist and policy analyst with a strong background and more than 15 years of experience in applications of economics and operational research methods to energy and climate policy questions. Muntasir Shahabuddin is chemical engineer at the Worchester Polytechnic Institute. </v>
      </c>
      <c r="C75" s="1" t="str">
        <f>IFERROR(__xludf.DUMMYFUNCTION("""COMPUTED_VALUE"""),"AFFIRMATIVE")</f>
        <v>AFFIRMATIVE</v>
      </c>
      <c r="D75" s="1" t="str">
        <f>IFERROR(__xludf.DUMMYFUNCTION("""COMPUTED_VALUE"""),"LNG DA")</f>
        <v>LNG DA</v>
      </c>
      <c r="E75" s="1" t="str">
        <f>IFERROR(__xludf.DUMMYFUNCTION("""COMPUTED_VALUE"""),"Aff answers to the Europe war scenario. It makes the argument that LNG consumption in Europe is going to inevitably decline.")</f>
        <v>Aff answers to the Europe war scenario. It makes the argument that LNG consumption in Europe is going to inevitably decline.</v>
      </c>
      <c r="F75" s="1"/>
      <c r="G75" s="1" t="str">
        <f>IFERROR(__xludf.DUMMYFUNCTION("""COMPUTED_VALUE"""),"Talamantes WSU")</f>
        <v>Talamantes WSU</v>
      </c>
      <c r="H75" s="1" t="str">
        <f>IFERROR(__xludf.DUMMYFUNCTION("""COMPUTED_VALUE"""),"Wave 3 (Due Dec. 27)")</f>
        <v>Wave 3 (Due Dec. 27)</v>
      </c>
      <c r="I75" s="6" t="str">
        <f>IFERROR(__xludf.DUMMYFUNCTION("""COMPUTED_VALUE"""),"https://drive.google.com/open?id=15V3mma2qRWzwLrra8p7hqOewmpN4h9sf")</f>
        <v>https://drive.google.com/open?id=15V3mma2qRWzwLrra8p7hqOewmpN4h9sf</v>
      </c>
    </row>
    <row r="76">
      <c r="A76" s="1" t="str">
        <f>IFERROR(__xludf.DUMMYFUNCTION("""COMPUTED_VALUE"""),"Zakaria, A. (2019). U.S. Energy Dominance: from Whale Oil to Shale; How the New U.S. Energy Doctrine will Change the World. IAEE Energy Forum, 17-19")</f>
        <v>Zakaria, A. (2019). U.S. Energy Dominance: from Whale Oil to Shale; How the New U.S. Energy Doctrine will Change the World. IAEE Energy Forum, 17-19</v>
      </c>
      <c r="B76" s="1" t="str">
        <f>IFERROR(__xludf.DUMMYFUNCTION("""COMPUTED_VALUE"""),"Amro Zakaria is a co-founder and Managing Director of Market Trader Academy USA. He is an expert in the financial service industry with over 16 years of global financial markets experience. Warming Defense")</f>
        <v>Amro Zakaria is a co-founder and Managing Director of Market Trader Academy USA. He is an expert in the financial service industry with over 16 years of global financial markets experience. Warming Defense</v>
      </c>
      <c r="C76" s="1" t="str">
        <f>IFERROR(__xludf.DUMMYFUNCTION("""COMPUTED_VALUE"""),"NEGATIVE")</f>
        <v>NEGATIVE</v>
      </c>
      <c r="D76" s="1" t="str">
        <f>IFERROR(__xludf.DUMMYFUNCTION("""COMPUTED_VALUE"""),"LNG DA")</f>
        <v>LNG DA</v>
      </c>
      <c r="E76" s="1" t="str">
        <f>IFERROR(__xludf.DUMMYFUNCTION("""COMPUTED_VALUE"""),"Existential impact to the Europe War scenario for the DA")</f>
        <v>Existential impact to the Europe War scenario for the DA</v>
      </c>
      <c r="F76" s="1"/>
      <c r="G76" s="1" t="str">
        <f>IFERROR(__xludf.DUMMYFUNCTION("""COMPUTED_VALUE"""),"Talamantes WSU")</f>
        <v>Talamantes WSU</v>
      </c>
      <c r="H76" s="1" t="str">
        <f>IFERROR(__xludf.DUMMYFUNCTION("""COMPUTED_VALUE"""),"Wave 3 (Due Dec. 27)")</f>
        <v>Wave 3 (Due Dec. 27)</v>
      </c>
      <c r="I76" s="6" t="str">
        <f>IFERROR(__xludf.DUMMYFUNCTION("""COMPUTED_VALUE"""),"https://drive.google.com/open?id=1SwP8MreBIurJzXhRTl4mkg5cA6XcAtuX")</f>
        <v>https://drive.google.com/open?id=1SwP8MreBIurJzXhRTl4mkg5cA6XcAtuX</v>
      </c>
    </row>
    <row r="77">
      <c r="A77" s="1" t="str">
        <f>IFERROR(__xludf.DUMMYFUNCTION("""COMPUTED_VALUE"""),"McCown, B. (March 2024). Effective US Energy Policy Could Strengthen International Security. Hudson Institute, 1-8")</f>
        <v>McCown, B. (March 2024). Effective US Energy Policy Could Strengthen International Security. Hudson Institute, 1-8</v>
      </c>
      <c r="B77" s="1" t="str">
        <f>IFERROR(__xludf.DUMMYFUNCTION("""COMPUTED_VALUE"""),"Brigham McCown is a senior fellow and director of the Initiative on American Energy Security at Hudson Institute. His research specialty is in domestic and foreign policy energy security, arctic energy policy, and political science. ")</f>
        <v>Brigham McCown is a senior fellow and director of the Initiative on American Energy Security at Hudson Institute. His research specialty is in domestic and foreign policy energy security, arctic energy policy, and political science. </v>
      </c>
      <c r="C77" s="1" t="str">
        <f>IFERROR(__xludf.DUMMYFUNCTION("""COMPUTED_VALUE"""),"NEGATIVE")</f>
        <v>NEGATIVE</v>
      </c>
      <c r="D77" s="1" t="str">
        <f>IFERROR(__xludf.DUMMYFUNCTION("""COMPUTED_VALUE"""),"LNG DA")</f>
        <v>LNG DA</v>
      </c>
      <c r="E77" s="1" t="str">
        <f>IFERROR(__xludf.DUMMYFUNCTION("""COMPUTED_VALUE"""),"The internal link article to the DA, discusses why LNG is necessary for hegemony and security.")</f>
        <v>The internal link article to the DA, discusses why LNG is necessary for hegemony and security.</v>
      </c>
      <c r="F77" s="1"/>
      <c r="G77" s="1" t="str">
        <f>IFERROR(__xludf.DUMMYFUNCTION("""COMPUTED_VALUE"""),"Talamantes WSU")</f>
        <v>Talamantes WSU</v>
      </c>
      <c r="H77" s="1" t="str">
        <f>IFERROR(__xludf.DUMMYFUNCTION("""COMPUTED_VALUE"""),"Wave 3 (Due Dec. 27)")</f>
        <v>Wave 3 (Due Dec. 27)</v>
      </c>
      <c r="I77" s="6" t="str">
        <f>IFERROR(__xludf.DUMMYFUNCTION("""COMPUTED_VALUE"""),"https://drive.google.com/open?id=1KpFJn6VMPLWj51nQdnAXmx4xl6yiiEOf")</f>
        <v>https://drive.google.com/open?id=1KpFJn6VMPLWj51nQdnAXmx4xl6yiiEOf</v>
      </c>
    </row>
    <row r="78">
      <c r="A78" s="1" t="str">
        <f>IFERROR(__xludf.DUMMYFUNCTION("""COMPUTED_VALUE"""),"Woollacott, J. (2020). A bridge too far? The role of natural gas electricity generation in US climate policy. Energy Policy, 147, 1-10. ")</f>
        <v>Woollacott, J. (2020). A bridge too far? The role of natural gas electricity generation in US climate policy. Energy Policy, 147, 1-10. </v>
      </c>
      <c r="B78" s="1" t="str">
        <f>IFERROR(__xludf.DUMMYFUNCTION("""COMPUTED_VALUE"""),"Jared Woollacott is a chief economist at the U.S. Energy Information Administration. He has been an economist studying energy systems and the environment for over 20 years. ")</f>
        <v>Jared Woollacott is a chief economist at the U.S. Energy Information Administration. He has been an economist studying energy systems and the environment for over 20 years. </v>
      </c>
      <c r="C78" s="1" t="str">
        <f>IFERROR(__xludf.DUMMYFUNCTION("""COMPUTED_VALUE"""),"MIXED")</f>
        <v>MIXED</v>
      </c>
      <c r="D78" s="1" t="str">
        <f>IFERROR(__xludf.DUMMYFUNCTION("""COMPUTED_VALUE"""),"LNG DA")</f>
        <v>LNG DA</v>
      </c>
      <c r="E78" s="1" t="str">
        <f>IFERROR(__xludf.DUMMYFUNCTION("""COMPUTED_VALUE"""),"Says it’s a bad bridge fuel but a carbon tax/price would wreck the industry.")</f>
        <v>Says it’s a bad bridge fuel but a carbon tax/price would wreck the industry.</v>
      </c>
      <c r="F78" s="1" t="str">
        <f>IFERROR(__xludf.DUMMYFUNCTION("""COMPUTED_VALUE"""),"Natural gas has been promoted as a ""bridge"" fuel toward a low-carbon future by offering near-term emissions reductions at lower cost. Existing literature is inconclusive on the short-term emissions benefits of more abundant natural gas. The long-lived n"&amp;"ature of natural gas infrastructure also threatens to lock in emissions levels well above longer-term targets. If natural gas can offer short-to-medium term benefits, how much of a bridge should we build? Using ARTIMAS, a foresighted computable general eq"&amp;"uilibrium model of the US economy, we interact scenarios developed by the EMF-34 study group related to abundant natural gas, low-cost renewables, and a carbon tax to examine the role of natural gas in a carbon-constrained future. We find that abundant na"&amp;"tural gas alone does not have a 
significant impact on CO₂ emissions. We also find that, under a higher carbon tax, natural gas investment of approximately $10 billion per year declines to zero at a tax of about $40/ton and existing natural gas assets fac"&amp;"e significant risk of impairment. Last, the presence of abundant natural gas lowers the marginal welfare cost of abating small amounts of CO2 but is likely to raise the cost of abatement levels consistent with common climate objectives. The integrated wel"&amp;"fare costs of climate policy depend on how much abatement we must undertake.")</f>
        <v>Natural gas has been promoted as a "bridge" fuel toward a low-carbon future by offering near-term emissions reductions at lower cost. Existing literature is inconclusive on the short-term emissions benefits of more abundant natural gas. The long-lived nature of natural gas infrastructure also threatens to lock in emissions levels well above longer-term targets. If natural gas can offer short-to-medium term benefits, how much of a bridge should we build? Using ARTIMAS, a foresighted computable general equilibrium model of the US economy, we interact scenarios developed by the EMF-34 study group related to abundant natural gas, low-cost renewables, and a carbon tax to examine the role of natural gas in a carbon-constrained future. We find that abundant natural gas alone does not have a 
significant impact on CO₂ emissions. We also find that, under a higher carbon tax, natural gas investment of approximately $10 billion per year declines to zero at a tax of about $40/ton and existing natural gas assets face significant risk of impairment. Last, the presence of abundant natural gas lowers the marginal welfare cost of abating small amounts of CO2 but is likely to raise the cost of abatement levels consistent with common climate objectives. The integrated welfare costs of climate policy depend on how much abatement we must undertake.</v>
      </c>
      <c r="G78" s="1" t="str">
        <f>IFERROR(__xludf.DUMMYFUNCTION("""COMPUTED_VALUE"""),"Talamantes WSU")</f>
        <v>Talamantes WSU</v>
      </c>
      <c r="H78" s="1" t="str">
        <f>IFERROR(__xludf.DUMMYFUNCTION("""COMPUTED_VALUE"""),"Wave 3 (Due Dec. 27)")</f>
        <v>Wave 3 (Due Dec. 27)</v>
      </c>
      <c r="I78" s="6" t="str">
        <f>IFERROR(__xludf.DUMMYFUNCTION("""COMPUTED_VALUE"""),"https://drive.google.com/open?id=1-zJuwqyRP6su0_Mvpnp7i4k_uJkfMb4N")</f>
        <v>https://drive.google.com/open?id=1-zJuwqyRP6su0_Mvpnp7i4k_uJkfMb4N</v>
      </c>
    </row>
    <row r="79">
      <c r="A79" s="1" t="str">
        <f>IFERROR(__xludf.DUMMYFUNCTION("""COMPUTED_VALUE"""),"Zahidi, S. (10 January 2024). The Global Risks Report 2024, 19th Edition, Insight Report. World Economic Forum. https://info.marsh.com/l/395202/2024-01-02/cl9mcq/395202/1704819094TNmMf0kN/World_Economic_Forum_Global_Risks_Report_2024.pdf")</f>
        <v>Zahidi, S. (10 January 2024). The Global Risks Report 2024, 19th Edition, Insight Report. World Economic Forum. https://info.marsh.com/l/395202/2024-01-02/cl9mcq/395202/1704819094TNmMf0kN/World_Economic_Forum_Global_Risks_Report_2024.pdf</v>
      </c>
      <c r="B79" s="1" t="str">
        <f>IFERROR(__xludf.DUMMYFUNCTION("""COMPUTED_VALUE"""),"Managing Director at the World Economic Forum, heading the Centre for the New Economy and Society and the Global Communications Group")</f>
        <v>Managing Director at the World Economic Forum, heading the Centre for the New Economy and Society and the Global Communications Group</v>
      </c>
      <c r="C79" s="1" t="str">
        <f>IFERROR(__xludf.DUMMYFUNCTION("""COMPUTED_VALUE"""),"MIXED")</f>
        <v>MIXED</v>
      </c>
      <c r="D79" s="1" t="str">
        <f>IFERROR(__xludf.DUMMYFUNCTION("""COMPUTED_VALUE"""),"Carbon Bubble DA, but can apply to other parts of the library")</f>
        <v>Carbon Bubble DA, but can apply to other parts of the library</v>
      </c>
      <c r="E79" s="1" t="str">
        <f>IFERROR(__xludf.DUMMYFUNCTION("""COMPUTED_VALUE"""),"pages 14-39 discuss economic impacts and how weakened economic systems lead to war. There are other impacts in here that can be applied to other parts of the library and it is relevant to the current state of the world since it is from 2024")</f>
        <v>pages 14-39 discuss economic impacts and how weakened economic systems lead to war. There are other impacts in here that can be applied to other parts of the library and it is relevant to the current state of the world since it is from 2024</v>
      </c>
      <c r="F79" s="1"/>
      <c r="G79" s="1" t="str">
        <f>IFERROR(__xludf.DUMMYFUNCTION("""COMPUTED_VALUE"""),"Talamantes WSU")</f>
        <v>Talamantes WSU</v>
      </c>
      <c r="H79" s="1" t="str">
        <f>IFERROR(__xludf.DUMMYFUNCTION("""COMPUTED_VALUE"""),"Wave 3 (Due Dec. 27)")</f>
        <v>Wave 3 (Due Dec. 27)</v>
      </c>
      <c r="I79" s="6" t="str">
        <f>IFERROR(__xludf.DUMMYFUNCTION("""COMPUTED_VALUE"""),"https://drive.google.com/open?id=1KxFQp1D9N5_kRJdL6S43KmIwkmjm_Fui")</f>
        <v>https://drive.google.com/open?id=1KxFQp1D9N5_kRJdL6S43KmIwkmjm_Fui</v>
      </c>
    </row>
    <row r="80">
      <c r="A80" s="1" t="str">
        <f>IFERROR(__xludf.DUMMYFUNCTION("""COMPUTED_VALUE"""),"DeAngelo, H., &amp; Curry, J. (2025, February 20). A Critique of the Apocalyptic Climate Narrative. SSRN. https://papers.ssrn.com/sol3/papers.cfm?abstract_id=5145310#paper-references-widget ")</f>
        <v>DeAngelo, H., &amp; Curry, J. (2025, February 20). A Critique of the Apocalyptic Climate Narrative. SSRN. https://papers.ssrn.com/sol3/papers.cfm?abstract_id=5145310#paper-references-widget </v>
      </c>
      <c r="B80" s="1" t="str">
        <f>IFERROR(__xludf.DUMMYFUNCTION("""COMPUTED_VALUE"""),"Harry DeAngelo is a professor at the University of Southern California, part of the Finance and Economics Department; Judith Curry is a professor at Georgia Institute of Technology")</f>
        <v>Harry DeAngelo is a professor at the University of Southern California, part of the Finance and Economics Department; Judith Curry is a professor at Georgia Institute of Technology</v>
      </c>
      <c r="C80" s="1" t="str">
        <f>IFERROR(__xludf.DUMMYFUNCTION("""COMPUTED_VALUE"""),"NEGATIVE")</f>
        <v>NEGATIVE</v>
      </c>
      <c r="D80" s="1" t="str">
        <f>IFERROR(__xludf.DUMMYFUNCTION("""COMPUTED_VALUE"""),"Warming Defense")</f>
        <v>Warming Defense</v>
      </c>
      <c r="E80" s="1" t="str">
        <f>IFERROR(__xludf.DUMMYFUNCTION("""COMPUTED_VALUE"""),"Provides further defense for negative to climate change doom scenarios. Discusses how the portrayal of climate change as an existential threat needing net-zero by mid to late century are out blown. Instead, such narratives have unintended consequences; sa"&amp;"ying that there is need to vastly limit fossil fuels ignores the massive consequences that would occur. Policies that urgently suppress fossil-fuel use will not only result in little to no impact on global warming itself but are harmful to finding viable "&amp;"alternatives. ")</f>
        <v>Provides further defense for negative to climate change doom scenarios. Discusses how the portrayal of climate change as an existential threat needing net-zero by mid to late century are out blown. Instead, such narratives have unintended consequences; saying that there is need to vastly limit fossil fuels ignores the massive consequences that would occur. Policies that urgently suppress fossil-fuel use will not only result in little to no impact on global warming itself but are harmful to finding viable alternatives. </v>
      </c>
      <c r="F80" s="1" t="str">
        <f>IFERROR(__xludf.DUMMYFUNCTION("""COMPUTED_VALUE"""),"The Apocalyptic climate narrative is a seriously misleading propaganda tool and a socially destructive guide for public policy. The narrative radically overstates the risks to humanity of continued global warming, which are manageable, not existential. It"&amp;" prescribes large-scale near-term suppression of fossil-fuel use, while failing to recognize the huge costs that such suppression would inflict on humans because fossil fuels are currently irreplaceable inputs for producing food (via ammonia-based fertili"&amp;"zer), steel, cement, and plastics. This paper details the flaws in the Apocalyptic narrative and articulates nine principles for sensible
U.S. policies on energy and global warming.")</f>
        <v>The Apocalyptic climate narrative is a seriously misleading propaganda tool and a socially destructive guide for public policy. The narrative radically overstates the risks to humanity of continued global warming, which are manageable, not existential. It prescribes large-scale near-term suppression of fossil-fuel use, while failing to recognize the huge costs that such suppression would inflict on humans because fossil fuels are currently irreplaceable inputs for producing food (via ammonia-based fertilizer), steel, cement, and plastics. This paper details the flaws in the Apocalyptic narrative and articulates nine principles for sensible
U.S. policies on energy and global warming.</v>
      </c>
      <c r="G80" s="1" t="str">
        <f>IFERROR(__xludf.DUMMYFUNCTION("""COMPUTED_VALUE"""),"Weikel UO")</f>
        <v>Weikel UO</v>
      </c>
      <c r="H80" s="1" t="str">
        <f>IFERROR(__xludf.DUMMYFUNCTION("""COMPUTED_VALUE"""),"Wave 4 (March 26)")</f>
        <v>Wave 4 (March 26)</v>
      </c>
      <c r="I80" s="6" t="str">
        <f>IFERROR(__xludf.DUMMYFUNCTION("""COMPUTED_VALUE"""),"https://drive.google.com/open?id=1OHYtkjhPkow7ia9SK03XUI0v5Z1wVk2L")</f>
        <v>https://drive.google.com/open?id=1OHYtkjhPkow7ia9SK03XUI0v5Z1wVk2L</v>
      </c>
    </row>
    <row r="81">
      <c r="A81" s="1" t="str">
        <f>IFERROR(__xludf.DUMMYFUNCTION("""COMPUTED_VALUE"""),"Abiry, R., Ferdinandusse, M., Ludwig, A., &amp; Nerlich, C. (2022). Climate change mitigation: How effective is green quantitative easing? (No. 2701). ECB Working Paper.")</f>
        <v>Abiry, R., Ferdinandusse, M., Ludwig, A., &amp; Nerlich, C. (2022). Climate change mitigation: How effective is green quantitative easing? (No. 2701). ECB Working Paper.</v>
      </c>
      <c r="B81" s="1" t="str">
        <f>IFERROR(__xludf.DUMMYFUNCTION("""COMPUTED_VALUE""")," Abiry - Postdoc in Economics, Goethe University; Ferdinandusse - lead economist in the Fiscal Policies Division of the European Central Bank; Ludwig - Professor of Economics, Goethe University; Nerlich - senior lead economist in the Fiscal Policies Divis"&amp;"ion of the European Central Bank")</f>
        <v> Abiry - Postdoc in Economics, Goethe University; Ferdinandusse - lead economist in the Fiscal Policies Division of the European Central Bank; Ludwig - Professor of Economics, Goethe University; Nerlich - senior lead economist in the Fiscal Policies Division of the European Central Bank</v>
      </c>
      <c r="C81" s="1" t="str">
        <f>IFERROR(__xludf.DUMMYFUNCTION("""COMPUTED_VALUE"""),"AFFIRMATIVE")</f>
        <v>AFFIRMATIVE</v>
      </c>
      <c r="D81" s="1" t="str">
        <f>IFERROR(__xludf.DUMMYFUNCTION("""COMPUTED_VALUE"""),"Green Finance CP")</f>
        <v>Green Finance CP</v>
      </c>
      <c r="E81" s="1" t="str">
        <f>IFERROR(__xludf.DUMMYFUNCTION("""COMPUTED_VALUE"""),"Argues green quantitative easing is not effective at addressing climate change; carbon tax is more effective than green quantitative easing. ")</f>
        <v>Argues green quantitative easing is not effective at addressing climate change; carbon tax is more effective than green quantitative easing. </v>
      </c>
      <c r="F81" s="1" t="str">
        <f>IFERROR(__xludf.DUMMYFUNCTION("""COMPUTED_VALUE"""),"We develop a two-sector incomplete markets integrated assessment model to analyze
the effectiveness of green quantitative easing (QE) in complementing fiscal policies for
climate change mitigation. We model green QE through an outstanding stock of private"&amp;"
assets held by a monetary authority and its portfolio allocation between a clean and a dirty
sector of production. Green QE leads to a partial crowding out of private capital in the
green sector and to a modest reduction of the global temperature by 0.04"&amp;" degrees of Celsius
until 2100. A moderate global carbon tax of 50 USD per tonne of carbon is 4 times more
effective.")</f>
        <v>We develop a two-sector incomplete markets integrated assessment model to analyze
the effectiveness of green quantitative easing (QE) in complementing fiscal policies for
climate change mitigation. We model green QE through an outstanding stock of private
assets held by a monetary authority and its portfolio allocation between a clean and a dirty
sector of production. Green QE leads to a partial crowding out of private capital in the
green sector and to a modest reduction of the global temperature by 0.04 degrees of Celsius
until 2100. A moderate global carbon tax of 50 USD per tonne of carbon is 4 times more
effective.</v>
      </c>
      <c r="G81" s="1" t="str">
        <f>IFERROR(__xludf.DUMMYFUNCTION("""COMPUTED_VALUE"""),"Nagy Oregon")</f>
        <v>Nagy Oregon</v>
      </c>
      <c r="H81" s="1" t="str">
        <f>IFERROR(__xludf.DUMMYFUNCTION("""COMPUTED_VALUE"""),"Wave 4 (March 26)")</f>
        <v>Wave 4 (March 26)</v>
      </c>
      <c r="I81" s="6" t="str">
        <f>IFERROR(__xludf.DUMMYFUNCTION("""COMPUTED_VALUE"""),"https://drive.google.com/open?id=14_2DWS0Hr8bmoZm-1V3JRIuJTOtifWoJ")</f>
        <v>https://drive.google.com/open?id=14_2DWS0Hr8bmoZm-1V3JRIuJTOtifWoJ</v>
      </c>
    </row>
    <row r="82">
      <c r="A82" s="1" t="str">
        <f>IFERROR(__xludf.DUMMYFUNCTION("""COMPUTED_VALUE"""),"Arcila, A., &amp; Baker, J. D. (2022). Evaluating carbon tax policy: A methodological reassessment of a natural experiment. Energy Economics, 111, 106053.")</f>
        <v>Arcila, A., &amp; Baker, J. D. (2022). Evaluating carbon tax policy: A methodological reassessment of a natural experiment. Energy Economics, 111, 106053.</v>
      </c>
      <c r="B82" s="1" t="str">
        <f>IFERROR(__xludf.DUMMYFUNCTION("""COMPUTED_VALUE"""),"Both A Arcila and JD Baker are Professors of Economics at the University of Waterloo in Waterloo ON, Canada.")</f>
        <v>Both A Arcila and JD Baker are Professors of Economics at the University of Waterloo in Waterloo ON, Canada.</v>
      </c>
      <c r="C82" s="1" t="str">
        <f>IFERROR(__xludf.DUMMYFUNCTION("""COMPUTED_VALUE"""),"NEGATIVE")</f>
        <v>NEGATIVE</v>
      </c>
      <c r="D82" s="1" t="str">
        <f>IFERROR(__xludf.DUMMYFUNCTION("""COMPUTED_VALUE"""),"Carbon Tax")</f>
        <v>Carbon Tax</v>
      </c>
      <c r="E82" s="1" t="str">
        <f>IFERROR(__xludf.DUMMYFUNCTION("""COMPUTED_VALUE"""),"An analysis of the BC CT found that it did not reduce emissions. ")</f>
        <v>An analysis of the BC CT found that it did not reduce emissions. </v>
      </c>
      <c r="F82" s="1" t="str">
        <f>IFERROR(__xludf.DUMMYFUNCTION("""COMPUTED_VALUE"""),"Heralded as the grand experiment in carbon tax policy, the Canadian province of British Columbia was on the forefront of North American environmental policy when it implemented a carbon tax in 2008. Despite being well-lauded in the literature, new data su"&amp;"ggests that CO2 emissions and fossil fuel consumption have in fact risen in recent years. We test the effectiveness of the policy change using a synthetic control analysis and find that, contrary to the theoretical intuition about carbon taxation, CO2 emi"&amp;"ssions and gasoline consumption rose in British Columbia relative to the synthetic control. However, we do find there to be a reduced share of economic activity in the energy industry following the policy change.")</f>
        <v>Heralded as the grand experiment in carbon tax policy, the Canadian province of British Columbia was on the forefront of North American environmental policy when it implemented a carbon tax in 2008. Despite being well-lauded in the literature, new data suggests that CO2 emissions and fossil fuel consumption have in fact risen in recent years. We test the effectiveness of the policy change using a synthetic control analysis and find that, contrary to the theoretical intuition about carbon taxation, CO2 emissions and gasoline consumption rose in British Columbia relative to the synthetic control. However, we do find there to be a reduced share of economic activity in the energy industry following the policy change.</v>
      </c>
      <c r="G82" s="1" t="str">
        <f>IFERROR(__xludf.DUMMYFUNCTION("""COMPUTED_VALUE"""),"McNamara Hillsdale")</f>
        <v>McNamara Hillsdale</v>
      </c>
      <c r="H82" s="1" t="str">
        <f>IFERROR(__xludf.DUMMYFUNCTION("""COMPUTED_VALUE"""),"Wave 4 (March 26)")</f>
        <v>Wave 4 (March 26)</v>
      </c>
      <c r="I82" s="6" t="str">
        <f>IFERROR(__xludf.DUMMYFUNCTION("""COMPUTED_VALUE"""),"https://drive.google.com/open?id=1h5j6SDlXvDPw0OcGyGXlo29tYglr5smD")</f>
        <v>https://drive.google.com/open?id=1h5j6SDlXvDPw0OcGyGXlo29tYglr5smD</v>
      </c>
    </row>
    <row r="83">
      <c r="A83" s="1" t="str">
        <f>IFERROR(__xludf.DUMMYFUNCTION("""COMPUTED_VALUE"""),"Cullen, J. (2023). Central Banks and Climate Change: Mission Impossible?. Journal of Financial Regulation, Volume 9, Issue 2, October 2023, Pages 174–209")</f>
        <v>Cullen, J. (2023). Central Banks and Climate Change: Mission Impossible?. Journal of Financial Regulation, Volume 9, Issue 2, October 2023, Pages 174–209</v>
      </c>
      <c r="B83" s="1" t="str">
        <f>IFERROR(__xludf.DUMMYFUNCTION("""COMPUTED_VALUE"""),"Cullen: Head of School of Law and Criminal Justice and Director of Business School, Edge Hill University. Law, PhD, University of Manchester.")</f>
        <v>Cullen: Head of School of Law and Criminal Justice and Director of Business School, Edge Hill University. Law, PhD, University of Manchester.</v>
      </c>
      <c r="C83" s="1" t="str">
        <f>IFERROR(__xludf.DUMMYFUNCTION("""COMPUTED_VALUE"""),"AFFIRMATIVE")</f>
        <v>AFFIRMATIVE</v>
      </c>
      <c r="D83" s="1" t="str">
        <f>IFERROR(__xludf.DUMMYFUNCTION("""COMPUTED_VALUE"""),"Green Finance CP")</f>
        <v>Green Finance CP</v>
      </c>
      <c r="E83" s="1" t="str">
        <f>IFERROR(__xludf.DUMMYFUNCTION("""COMPUTED_VALUE"""),"Point by point refutation of green finance CP including obstacles, casting doubt on solvency, and establishing disadvantages like wasting political and economic resources")</f>
        <v>Point by point refutation of green finance CP including obstacles, casting doubt on solvency, and establishing disadvantages like wasting political and economic resources</v>
      </c>
      <c r="F83" s="1" t="str">
        <f>IFERROR(__xludf.DUMMYFUNCTION("""COMPUTED_VALUE"""),"There is growing presumption that central banks have a significant role to play in addressing environmental challenges, especially climate change. This article explains, on the basis of both theoretical and empirical evidence, that attempting to use exist"&amp;"ing central bank tools and powers to tackle climate change will prove inadequate to tackle the issue(s) at hand. From a positivist perspective at least—and contrary to the claims made in the literature—the tools that central banks possess are insufficient"&amp;" to make any meaningful contribution to emissions reductions and prevent global heating. This is because many of the proposals made by academics, regulators, and legislators to expand the central bank toolkit to equip banks to tackle climate change suffer"&amp;" from deep conceptual and practical drawbacks when applied in this domain. These critical weaknesses mean that the policy prescriptions that flow from them will be of limited impact; this would likely be the case even if central banks were to obviate thei"&amp;"r mandates more explicitly and attempt to use such tools to address climate change directly. In so doing, they waste valuable political and economic capital that might be usefully deployed in tackling climate change. The obstacles to using these tools are"&amp;" not political or legal; they are inherent in their operation.")</f>
        <v>There is growing presumption that central banks have a significant role to play in addressing environmental challenges, especially climate change. This article explains, on the basis of both theoretical and empirical evidence, that attempting to use existing central bank tools and powers to tackle climate change will prove inadequate to tackle the issue(s) at hand. From a positivist perspective at least—and contrary to the claims made in the literature—the tools that central banks possess are insufficient to make any meaningful contribution to emissions reductions and prevent global heating. This is because many of the proposals made by academics, regulators, and legislators to expand the central bank toolkit to equip banks to tackle climate change suffer from deep conceptual and practical drawbacks when applied in this domain. These critical weaknesses mean that the policy prescriptions that flow from them will be of limited impact; this would likely be the case even if central banks were to obviate their mandates more explicitly and attempt to use such tools to address climate change directly. In so doing, they waste valuable political and economic capital that might be usefully deployed in tackling climate change. The obstacles to using these tools are not political or legal; they are inherent in their operation.</v>
      </c>
      <c r="G83" s="1" t="str">
        <f>IFERROR(__xludf.DUMMYFUNCTION("""COMPUTED_VALUE"""),"Mooney Hillsdale")</f>
        <v>Mooney Hillsdale</v>
      </c>
      <c r="H83" s="1" t="str">
        <f>IFERROR(__xludf.DUMMYFUNCTION("""COMPUTED_VALUE"""),"Wave 4 (March 26)")</f>
        <v>Wave 4 (March 26)</v>
      </c>
      <c r="I83" s="6" t="str">
        <f>IFERROR(__xludf.DUMMYFUNCTION("""COMPUTED_VALUE"""),"https://drive.google.com/open?id=1EzqqZXLijbLjtmS_O9hb3qYQhh9ugFtB")</f>
        <v>https://drive.google.com/open?id=1EzqqZXLijbLjtmS_O9hb3qYQhh9ugFtB</v>
      </c>
    </row>
    <row r="84">
      <c r="A84" s="1" t="str">
        <f>IFERROR(__xludf.DUMMYFUNCTION("""COMPUTED_VALUE"""),"Jordán, F. (2025). Varieties of capitalism and environmental performance. Ecological Economics, 227, 108362. https://doi.org/10.1016/j.ecolecon.2024.108362")</f>
        <v>Jordán, F. (2025). Varieties of capitalism and environmental performance. Ecological Economics, 227, 108362. https://doi.org/10.1016/j.ecolecon.2024.108362</v>
      </c>
      <c r="B84" s="1" t="str">
        <f>IFERROR(__xludf.DUMMYFUNCTION("""COMPUTED_VALUE"""),"I am an assistant professor in the Department of Economics and the Institute for Sustainable Development at Pontificia Universidad Católica de Chile. My research focuses on the political economy of sustainable development. I study the impact of policies a"&amp;"nd institutions on economic prosperity and environmental sustainability at the local and national levels, as well as the impact of environmental conditions on human populations. I am particularly interested in how indigenous cultural and institutional bac"&amp;"kgrounds interact with Western institutions to shape the economy, natural environment, and culture of rural communities in Latin America. Visit my research page to read about the projects I am currently working on.")</f>
        <v>I am an assistant professor in the Department of Economics and the Institute for Sustainable Development at Pontificia Universidad Católica de Chile. My research focuses on the political economy of sustainable development. I study the impact of policies and institutions on economic prosperity and environmental sustainability at the local and national levels, as well as the impact of environmental conditions on human populations. I am particularly interested in how indigenous cultural and institutional backgrounds interact with Western institutions to shape the economy, natural environment, and culture of rural communities in Latin America. Visit my research page to read about the projects I am currently working on.</v>
      </c>
      <c r="C84" s="1" t="str">
        <f>IFERROR(__xludf.DUMMYFUNCTION("""COMPUTED_VALUE"""),"AFFIRMATIVE")</f>
        <v>AFFIRMATIVE</v>
      </c>
      <c r="D84" s="1" t="str">
        <f>IFERROR(__xludf.DUMMYFUNCTION("""COMPUTED_VALUE"""),"Cap K, Degrowth K")</f>
        <v>Cap K, Degrowth K</v>
      </c>
      <c r="E84" s="1" t="str">
        <f>IFERROR(__xludf.DUMMYFUNCTION("""COMPUTED_VALUE"""),"Provides empirical evidence suggesting that capitalist systems are compatible with environmentalism. The article also suggests that capitalist governments may even be capable of successfully decoupling economic growth from warming.")</f>
        <v>Provides empirical evidence suggesting that capitalist systems are compatible with environmentalism. The article also suggests that capitalist governments may even be capable of successfully decoupling economic growth from warming.</v>
      </c>
      <c r="F84" s="1" t="str">
        <f>IFERROR(__xludf.DUMMYFUNCTION("""COMPUTED_VALUE"""),"This paper investigates the role of institutions in decoupling economic growth from environmental impacts, employing the Varieties of Capitalism framework. It finds that Northern European countries have achieved more significant decoupling than other West"&amp;"ern OECD countries since the 1980s, as measured by the Ecological Footprint of Consumption. Differences in corporatism, as well as the amount and type of public social expenditures, are hypothesized to play a crucial role in explaining this pattern. Multi"&amp;"ple regression analysis reveals that larger proportions of GDP allocated to universal social expenditures — not contingent on work status — are robustly associated with stronger decoupling. This suggests that the considerable investments of Northern Europ"&amp;"ean countries in universal social benefits have been key for effectively reducing the environmental impacts associated with economic growth.")</f>
        <v>This paper investigates the role of institutions in decoupling economic growth from environmental impacts, employing the Varieties of Capitalism framework. It finds that Northern European countries have achieved more significant decoupling than other Western OECD countries since the 1980s, as measured by the Ecological Footprint of Consumption. Differences in corporatism, as well as the amount and type of public social expenditures, are hypothesized to play a crucial role in explaining this pattern. Multiple regression analysis reveals that larger proportions of GDP allocated to universal social expenditures — not contingent on work status — are robustly associated with stronger decoupling. This suggests that the considerable investments of Northern European countries in universal social benefits have been key for effectively reducing the environmental impacts associated with economic growth.</v>
      </c>
      <c r="G84" s="1" t="str">
        <f>IFERROR(__xludf.DUMMYFUNCTION("""COMPUTED_VALUE"""),"Brown Hillsdale")</f>
        <v>Brown Hillsdale</v>
      </c>
      <c r="H84" s="1" t="str">
        <f>IFERROR(__xludf.DUMMYFUNCTION("""COMPUTED_VALUE"""),"Wave 4 (March 26)")</f>
        <v>Wave 4 (March 26)</v>
      </c>
      <c r="I84" s="6" t="str">
        <f>IFERROR(__xludf.DUMMYFUNCTION("""COMPUTED_VALUE"""),"https://drive.google.com/open?id=145r5jwC1A-f-Nbru4oZ4C3V_C94_CWSs")</f>
        <v>https://drive.google.com/open?id=145r5jwC1A-f-Nbru4oZ4C3V_C94_CWSs</v>
      </c>
    </row>
    <row r="85">
      <c r="A85" s="1" t="str">
        <f>IFERROR(__xludf.DUMMYFUNCTION("""COMPUTED_VALUE"""),"Budolfson, M. (2021). Arguments for Well-Regulated Capitalism, and Implications for Global Ethics, Food, Environment, Climate Change, and Beyond. Ethics &amp; International Affairs, 35(1), 83–98. doi:10.1017/S0892679421000083")</f>
        <v>Budolfson, M. (2021). Arguments for Well-Regulated Capitalism, and Implications for Global Ethics, Food, Environment, Climate Change, and Beyond. Ethics &amp; International Affairs, 35(1), 83–98. doi:10.1017/S0892679421000083</v>
      </c>
      <c r="B85" s="1" t="str">
        <f>IFERROR(__xludf.DUMMYFUNCTION("""COMPUTED_VALUE"""),"Mark Budolfson received his PhD from Princeton, and is currently a postdoctoral fellow at the McCoy Family Center for Ethics in Society at Stanford. His current research includes work on environmental philosophy, the legitimacy of international institutio"&amp;"ns, and general issues at the interface of ethics and public policy, especially in connection with collective action problems such as climate change and other dilemmas that arise in connection with common resources and public goods.")</f>
        <v>Mark Budolfson received his PhD from Princeton, and is currently a postdoctoral fellow at the McCoy Family Center for Ethics in Society at Stanford. His current research includes work on environmental philosophy, the legitimacy of international institutions, and general issues at the interface of ethics and public policy, especially in connection with collective action problems such as climate change and other dilemmas that arise in connection with common resources and public goods.</v>
      </c>
      <c r="C85" s="1" t="str">
        <f>IFERROR(__xludf.DUMMYFUNCTION("""COMPUTED_VALUE"""),"AFFIRMATIVE")</f>
        <v>AFFIRMATIVE</v>
      </c>
      <c r="D85" s="1" t="str">
        <f>IFERROR(__xludf.DUMMYFUNCTION("""COMPUTED_VALUE"""),"Provides answers to cap K and degrowth K.")</f>
        <v>Provides answers to cap K and degrowth K.</v>
      </c>
      <c r="E85" s="1" t="str">
        <f>IFERROR(__xludf.DUMMYFUNCTION("""COMPUTED_VALUE"""),"This article argues that capitalism is not intrinsically the problem, and that market based solutions are key to addressing climate change. It argues that based on human proposerity based indicator outcomes (health, human wellbeing, etc.) a well regulated"&amp;" capitalism is superior over socialism or a degrowth model. ")</f>
        <v>This article argues that capitalism is not intrinsically the problem, and that market based solutions are key to addressing climate change. It argues that based on human proposerity based indicator outcomes (health, human wellbeing, etc.) a well regulated capitalism is superior over socialism or a degrowth model. </v>
      </c>
      <c r="F85" s="1" t="str">
        <f>IFERROR(__xludf.DUMMYFUNCTION("""COMPUTED_VALUE"""),"Discourse on food ethics often advocates the anti-capitalist idea that we need less capitalism, less growth, and less globalization if we want to make the world a better and more equitable place. This idea is also familiar from much discourse in global et"&amp;"hics, environment, and political theory, more generally. However, many experts argue that this anti-capitalist idea is not supported by reason and argument, and is actually wrong. As part of the roundtable, “Ethics and the Future of the Global Food System"&amp;",” the main contribution of this essay is to explain the structure of the leading arguments against this anti-capitalist idea, and in favor of well-regulated capitalism. I initially focus on general arguments for and against globalized capitalism. I then "&amp;"turn to implications for the food, environment, climate change, and beyond. Finally, I clarify the important kernel of truth in the critique of neoliberalism familiar from food ethics, political theory, and beyond—as well as the limitations of that critiq"&amp;"ue.")</f>
        <v>Discourse on food ethics often advocates the anti-capitalist idea that we need less capitalism, less growth, and less globalization if we want to make the world a better and more equitable place. This idea is also familiar from much discourse in global ethics, environment, and political theory, more generally. However, many experts argue that this anti-capitalist idea is not supported by reason and argument, and is actually wrong. As part of the roundtable, “Ethics and the Future of the Global Food System,” the main contribution of this essay is to explain the structure of the leading arguments against this anti-capitalist idea, and in favor of well-regulated capitalism. I initially focus on general arguments for and against globalized capitalism. I then turn to implications for the food, environment, climate change, and beyond. Finally, I clarify the important kernel of truth in the critique of neoliberalism familiar from food ethics, political theory, and beyond—as well as the limitations of that critique.</v>
      </c>
      <c r="G85" s="1" t="str">
        <f>IFERROR(__xludf.DUMMYFUNCTION("""COMPUTED_VALUE"""),"Morgun Oregon")</f>
        <v>Morgun Oregon</v>
      </c>
      <c r="H85" s="1" t="str">
        <f>IFERROR(__xludf.DUMMYFUNCTION("""COMPUTED_VALUE"""),"Wave 4 (March 26)")</f>
        <v>Wave 4 (March 26)</v>
      </c>
      <c r="I85" s="6" t="str">
        <f>IFERROR(__xludf.DUMMYFUNCTION("""COMPUTED_VALUE"""),"https://drive.google.com/open?id=1NEABb1DKjqMFZtjQEwlqRXsDy_lO_eP0")</f>
        <v>https://drive.google.com/open?id=1NEABb1DKjqMFZtjQEwlqRXsDy_lO_eP0</v>
      </c>
    </row>
    <row r="86">
      <c r="A86" s="1" t="str">
        <f>IFERROR(__xludf.DUMMYFUNCTION("""COMPUTED_VALUE"""),"Carattini, S., Carvalho, M., &amp; Fankhauser, S. (2018). Overcoming public resistance to carbon taxes. Wiley interdisciplinary reviews. Climate change, 9(5), e531.")</f>
        <v>Carattini, S., Carvalho, M., &amp; Fankhauser, S. (2018). Overcoming public resistance to carbon taxes. Wiley interdisciplinary reviews. Climate change, 9(5), e531.</v>
      </c>
      <c r="B86" s="1" t="str">
        <f>IFERROR(__xludf.DUMMYFUNCTION("""COMPUTED_VALUE"""),"Assistant Professor in the Department of Economics at Georgia State University, Andrew Young School of Policy Studies. obtained a PhD in Economics from the University of Barcelona and a MSc in Economics from the University of Lausanne. He also holds a BA "&amp;"in Socio-economics from the University of Geneva.")</f>
        <v>Assistant Professor in the Department of Economics at Georgia State University, Andrew Young School of Policy Studies. obtained a PhD in Economics from the University of Barcelona and a MSc in Economics from the University of Lausanne. He also holds a BA in Socio-economics from the University of Geneva.</v>
      </c>
      <c r="C86" s="1" t="str">
        <f>IFERROR(__xludf.DUMMYFUNCTION("""COMPUTED_VALUE"""),"MIXED")</f>
        <v>MIXED</v>
      </c>
      <c r="D86" s="1" t="str">
        <f>IFERROR(__xludf.DUMMYFUNCTION("""COMPUTED_VALUE"""),"Carbon Tax")</f>
        <v>Carbon Tax</v>
      </c>
      <c r="E86" s="1" t="str">
        <f>IFERROR(__xludf.DUMMYFUNCTION("""COMPUTED_VALUE"""),"Carbon Taxes have good potential but historically face intense public opposition. The article talks about incentives of and incentives against public support and creates design suggestions for carbon tax policies.")</f>
        <v>Carbon Taxes have good potential but historically face intense public opposition. The article talks about incentives of and incentives against public support and creates design suggestions for carbon tax policies.</v>
      </c>
      <c r="F86" s="1" t="str">
        <f>IFERROR(__xludf.DUMMYFUNCTION("""COMPUTED_VALUE"""),"Carbon taxes represent a cost‐effective way to steer the economy toward a greener future. In the real world, their application has however been limited. In this paper, we address one of the main obstacles to carbon taxes: public opposition. We identify dr"&amp;"ivers of and barriers to public support, and, under the form of stylized facts, provide general lessons on the acceptability of carbon taxes. We derive our lessons from a growing literature, as well as from a combination of policy “failures” and “successe"&amp;"s.” Based on our stylized facts, we formulate a set of suggestions concerning the design of carbon taxes. We consider the use of trial periods, tax escalators, environmental earmarking, lump‐sum transfers, tax rebates, and advanced communication strategie"&amp;"s, among others. This paper contributes to the policy debate about carbon taxes, hopefully leading to more success stories and fewer policy failures.")</f>
        <v>Carbon taxes represent a cost‐effective way to steer the economy toward a greener future. In the real world, their application has however been limited. In this paper, we address one of the main obstacles to carbon taxes: public opposition. We identify drivers of and barriers to public support, and, under the form of stylized facts, provide general lessons on the acceptability of carbon taxes. We derive our lessons from a growing literature, as well as from a combination of policy “failures” and “successes.” Based on our stylized facts, we formulate a set of suggestions concerning the design of carbon taxes. We consider the use of trial periods, tax escalators, environmental earmarking, lump‐sum transfers, tax rebates, and advanced communication strategies, among others. This paper contributes to the policy debate about carbon taxes, hopefully leading to more success stories and fewer policy failures.</v>
      </c>
      <c r="G86" s="1" t="str">
        <f>IFERROR(__xludf.DUMMYFUNCTION("""COMPUTED_VALUE"""),"Rapoport Hillsdale")</f>
        <v>Rapoport Hillsdale</v>
      </c>
      <c r="H86" s="1" t="str">
        <f>IFERROR(__xludf.DUMMYFUNCTION("""COMPUTED_VALUE"""),"Wave 4 (March 26)")</f>
        <v>Wave 4 (March 26)</v>
      </c>
      <c r="I86" s="6" t="str">
        <f>IFERROR(__xludf.DUMMYFUNCTION("""COMPUTED_VALUE"""),"https://drive.google.com/open?id=1viomBrzK8Kp8NQ0Z8P1asuLr4DVCUImc")</f>
        <v>https://drive.google.com/open?id=1viomBrzK8Kp8NQ0Z8P1asuLr4DVCUImc</v>
      </c>
    </row>
    <row r="87">
      <c r="A87" s="1" t="str">
        <f>IFERROR(__xludf.DUMMYFUNCTION("""COMPUTED_VALUE"""),"Beaumont-Smith, G. (2024, July 30). Are Carbon Border Adjustments a Dream Climate Policy or Protectionist Nightmare?. Cato.org. https://www.cato.org/policy-analysis/are-carbon-border-adjustments-dream-climate-policy-or-protectionist-nightmare#eus-emission"&amp;"s-trading-system ")</f>
        <v>Beaumont-Smith, G. (2024, July 30). Are Carbon Border Adjustments a Dream Climate Policy or Protectionist Nightmare?. Cato.org. https://www.cato.org/policy-analysis/are-carbon-border-adjustments-dream-climate-policy-or-protectionist-nightmare#eus-emissions-trading-system </v>
      </c>
      <c r="B87" s="1" t="str">
        <f>IFERROR(__xludf.DUMMYFUNCTION("""COMPUTED_VALUE"""),"GABRIELLA BEAUMONT-SMITH is a former policy analyst at the Cato Institute’s Herbert A. Stiefel Center for Trade Policy Studies.")</f>
        <v>GABRIELLA BEAUMONT-SMITH is a former policy analyst at the Cato Institute’s Herbert A. Stiefel Center for Trade Policy Studies.</v>
      </c>
      <c r="C87" s="1" t="str">
        <f>IFERROR(__xludf.DUMMYFUNCTION("""COMPUTED_VALUE"""),"NEGATIVE")</f>
        <v>NEGATIVE</v>
      </c>
      <c r="D87" s="1" t="str">
        <f>IFERROR(__xludf.DUMMYFUNCTION("""COMPUTED_VALUE"""),"Carbon Tax")</f>
        <v>Carbon Tax</v>
      </c>
      <c r="E87" s="1" t="str">
        <f>IFERROR(__xludf.DUMMYFUNCTION("""COMPUTED_VALUE"""),"Discusses what a carbon border adjustment is and the only actual example in real life of one is in the EU. Talks about practical problems with CBAM such as violating WTO commitments, invites free riding, and disproportionately affects consumers. Advocates"&amp;" for paths and policies that induce freer trade.")</f>
        <v>Discusses what a carbon border adjustment is and the only actual example in real life of one is in the EU. Talks about practical problems with CBAM such as violating WTO commitments, invites free riding, and disproportionately affects consumers. Advocates for paths and policies that induce freer trade.</v>
      </c>
      <c r="F87" s="1" t="str">
        <f>IFERROR(__xludf.DUMMYFUNCTION("""COMPUTED_VALUE"""),"Climate change is an increasingly important
consideration in trade policy. For instance, many
countries try to limit their greenhouse gas
emissions through domestic carbon pricing and
regulatory schemes, and many trade agreements now include
environmental"&amp;" provisions. In addition, some policymakers are
looking to extend carbon pricing schemes to the international
level. This has led to proposals for a carbon border adjustment
mechanism (CBAM), which would tax the carbon emissions
connected to the imported "&amp;"goods at the same rate as the
carbon tax applied to domestic products.
The only example of a currently adopted CBAM is in the
European Union, which began phasing in the policy in October
2023. Several members of the United States Congress have
introduced "&amp;"legislation proposing border adjustments and
carbon tariffs, but none have become law. However, neither
the European Union’s CBAM nor any of the US proposals
should be considered a true CBAM, and it is unclear whether
they would comply with World Trade Or"&amp;"ganization rules.
While the idea of a government using taxes to protect the
environment is established in economic theory, there are
reasons to doubt that a CBAM would be effective at reducing
emissions to mitigate climate change. Instead, these policies
"&amp;"are likely to create uneven distributional effects on
consumers as well as multiple pathways for rent seeking,
cronyism, and protectionism.
Instead of imposing more taxes on trade, policymakers
should pursue freer trade, which would provide opportunities
"&amp;"to tackle excessive greenhouse gas emissions. Centuries of
evidence have established that trade spurs economic growth,
which contributes to cleaner environments. Therefore, the
best path toward a cleaner and healthier world is to engage in
freer trade and"&amp;" avoid enriching special interests through
protectionism.")</f>
        <v>Climate change is an increasingly important
consideration in trade policy. For instance, many
countries try to limit their greenhouse gas
emissions through domestic carbon pricing and
regulatory schemes, and many trade agreements now include
environmental provisions. In addition, some policymakers are
looking to extend carbon pricing schemes to the international
level. This has led to proposals for a carbon border adjustment
mechanism (CBAM), which would tax the carbon emissions
connected to the imported goods at the same rate as the
carbon tax applied to domestic products.
The only example of a currently adopted CBAM is in the
European Union, which began phasing in the policy in October
2023. Several members of the United States Congress have
introduced legislation proposing border adjustments and
carbon tariffs, but none have become law. However, neither
the European Union’s CBAM nor any of the US proposals
should be considered a true CBAM, and it is unclear whether
they would comply with World Trade Organization rules.
While the idea of a government using taxes to protect the
environment is established in economic theory, there are
reasons to doubt that a CBAM would be effective at reducing
emissions to mitigate climate change. Instead, these policies
are likely to create uneven distributional effects on
consumers as well as multiple pathways for rent seeking,
cronyism, and protectionism.
Instead of imposing more taxes on trade, policymakers
should pursue freer trade, which would provide opportunities
to tackle excessive greenhouse gas emissions. Centuries of
evidence have established that trade spurs economic growth,
which contributes to cleaner environments. Therefore, the
best path toward a cleaner and healthier world is to engage in
freer trade and avoid enriching special interests through
protectionism.</v>
      </c>
      <c r="G87" s="1" t="str">
        <f>IFERROR(__xludf.DUMMYFUNCTION("""COMPUTED_VALUE"""),"Weikel UO")</f>
        <v>Weikel UO</v>
      </c>
      <c r="H87" s="1" t="str">
        <f>IFERROR(__xludf.DUMMYFUNCTION("""COMPUTED_VALUE"""),"Wave 4 (March 26)")</f>
        <v>Wave 4 (March 26)</v>
      </c>
      <c r="I87" s="6" t="str">
        <f>IFERROR(__xludf.DUMMYFUNCTION("""COMPUTED_VALUE"""),"https://drive.google.com/open?id=1vVbbezW0fDR-TFA1oH9Ux6AzEqPuT-vg")</f>
        <v>https://drive.google.com/open?id=1vVbbezW0fDR-TFA1oH9Ux6AzEqPuT-vg</v>
      </c>
    </row>
    <row r="88">
      <c r="A88" s="1" t="str">
        <f>IFERROR(__xludf.DUMMYFUNCTION("""COMPUTED_VALUE"""),"Dean, J. (2016). The Anamorphic Politics of Climate Change. *E-Flux Journal*, 69. https://www.e-flux.com/journal/69/60586/the-anamorphic-politics-of-climate-change/#:~:text=Jodi%20Dean,-Issue%20%2369&amp;text=Politics%20in%20the%20Anthropocene%20is,for%20patt"&amp;"erns%20and%20estimate%20probabilities")</f>
        <v>Dean, J. (2016). The Anamorphic Politics of Climate Change. *E-Flux Journal*, 69. https://www.e-flux.com/journal/69/60586/the-anamorphic-politics-of-climate-change/#:~:text=Jodi%20Dean,-Issue%20%2369&amp;text=Politics%20in%20the%20Anthropocene%20is,for%20patterns%20and%20estimate%20probabilities</v>
      </c>
      <c r="B88" s="1" t="str">
        <f>IFERROR(__xludf.DUMMYFUNCTION("""COMPUTED_VALUE"""),"Jodi Dean is an American political theorist and professor in the Political Science department at Hobart and William Smith Colleges in New York state. She held the Donald R. Harter ’39 Professorship of the Humanities and Social Sciences from 2013 to 2018. ")</f>
        <v>Jodi Dean is an American political theorist and professor in the Political Science department at Hobart and William Smith Colleges in New York state. She held the Donald R. Harter ’39 Professorship of the Humanities and Social Sciences from 2013 to 2018. </v>
      </c>
      <c r="C88" s="1" t="str">
        <f>IFERROR(__xludf.DUMMYFUNCTION("""COMPUTED_VALUE"""),"AFFIRMATIVE")</f>
        <v>AFFIRMATIVE</v>
      </c>
      <c r="D88" s="1" t="str">
        <f>IFERROR(__xludf.DUMMYFUNCTION("""COMPUTED_VALUE"""),"A2 Cap K")</f>
        <v>A2 Cap K</v>
      </c>
      <c r="E88" s="1" t="str">
        <f>IFERROR(__xludf.DUMMYFUNCTION("""COMPUTED_VALUE"""),"Jodi Dean’s ""The Anamorphic Politics of Climate Change"" argues that climate politics in the Anthropocene is shaped by fragmented perspectives, where evidence appears as extremes but remains elusive in totality. She critiques the Left’s oscillation betwe"&amp;"en moralism and catastrophe, seeing enjoyment in the paralysis of action. Dean connects this to Lacanian jouissance, where pleasure is derived from destruction and knowing, mirroring capitalism’s relentless drive. She proposes an anamorphic perspective—vi"&amp;"ewing climate change from the side, focusing on infrastructures like fossil fuel industries and cultural institutions to mobilize collective action and counteract capitalist power.")</f>
        <v>Jodi Dean’s "The Anamorphic Politics of Climate Change" argues that climate politics in the Anthropocene is shaped by fragmented perspectives, where evidence appears as extremes but remains elusive in totality. She critiques the Left’s oscillation between moralism and catastrophe, seeing enjoyment in the paralysis of action. Dean connects this to Lacanian jouissance, where pleasure is derived from destruction and knowing, mirroring capitalism’s relentless drive. She proposes an anamorphic perspective—viewing climate change from the side, focusing on infrastructures like fossil fuel industries and cultural institutions to mobilize collective action and counteract capitalist power.</v>
      </c>
      <c r="F88" s="1"/>
      <c r="G88" s="1" t="str">
        <f>IFERROR(__xludf.DUMMYFUNCTION("""COMPUTED_VALUE"""),"Schmitt UO")</f>
        <v>Schmitt UO</v>
      </c>
      <c r="H88" s="1" t="str">
        <f>IFERROR(__xludf.DUMMYFUNCTION("""COMPUTED_VALUE"""),"Wave 4 (March 26)")</f>
        <v>Wave 4 (March 26)</v>
      </c>
      <c r="I88" s="6" t="str">
        <f>IFERROR(__xludf.DUMMYFUNCTION("""COMPUTED_VALUE"""),"https://drive.google.com/open?id=1xsGbYrX11rjFxyDiAfn0kTuU-R2L4YGH")</f>
        <v>https://drive.google.com/open?id=1xsGbYrX11rjFxyDiAfn0kTuU-R2L4YGH</v>
      </c>
    </row>
    <row r="89">
      <c r="A89" s="1" t="str">
        <f>IFERROR(__xludf.DUMMYFUNCTION("""COMPUTED_VALUE"""),"Heron, K. &amp; Dean, J. (2020). Revolution or Ruin. *e-Flux Journal*, 110. https://www.e-flux.com/journal/110/335242/revolution-or-ruin/")</f>
        <v>Heron, K. &amp; Dean, J. (2020). Revolution or Ruin. *e-Flux Journal*, 110. https://www.e-flux.com/journal/110/335242/revolution-or-ruin/</v>
      </c>
      <c r="B89" s="1" t="str">
        <f>IFERROR(__xludf.DUMMYFUNCTION("""COMPUTED_VALUE"""),"Kai Heron is a political ecologist, political economist, and theorist of rural and agrarian transition at Lancaster University. Jodi Dean is an American political theorist and professor in the Political Science department at Hobart and William Smith Colle"&amp;"ges in New York state.")</f>
        <v>Kai Heron is a political ecologist, political economist, and theorist of rural and agrarian transition at Lancaster University. Jodi Dean is an American political theorist and professor in the Political Science department at Hobart and William Smith Colleges in New York state.</v>
      </c>
      <c r="C89" s="1" t="str">
        <f>IFERROR(__xludf.DUMMYFUNCTION("""COMPUTED_VALUE"""),"AFFIRMATIVE")</f>
        <v>AFFIRMATIVE</v>
      </c>
      <c r="D89" s="1" t="str">
        <f>IFERROR(__xludf.DUMMYFUNCTION("""COMPUTED_VALUE"""),"A2 Cap K")</f>
        <v>A2 Cap K</v>
      </c>
      <c r="E89" s="1" t="str">
        <f>IFERROR(__xludf.DUMMYFUNCTION("""COMPUTED_VALUE"""),"Drawing on Wallace-Wells and critiquing Chakrabarty, the text challenges the idea that capitalist self-interest will drive an effective climate response. It argues that framing climate breakdown as a moral failing or as an issue best addressed through mar"&amp;"ket solutions ignores how capitalism profits from disaster. Movements like Extinction Rebellion, by trying to move “beyond politics,” deflect responsibility for genuine collective action. In contrast, the article asserts that only a revolutionary, state-l"&amp;"ed seizure of power—eschewing both reformist green policies like the Green New Deal and state-phobic, decentralized responses—can fundamentally transform the exploitative dynamics of capitalism and confront the intertwined social and ecological catastroph"&amp;"es of our time.")</f>
        <v>Drawing on Wallace-Wells and critiquing Chakrabarty, the text challenges the idea that capitalist self-interest will drive an effective climate response. It argues that framing climate breakdown as a moral failing or as an issue best addressed through market solutions ignores how capitalism profits from disaster. Movements like Extinction Rebellion, by trying to move “beyond politics,” deflect responsibility for genuine collective action. In contrast, the article asserts that only a revolutionary, state-led seizure of power—eschewing both reformist green policies like the Green New Deal and state-phobic, decentralized responses—can fundamentally transform the exploitative dynamics of capitalism and confront the intertwined social and ecological catastrophes of our time.</v>
      </c>
      <c r="F89" s="1"/>
      <c r="G89" s="1" t="str">
        <f>IFERROR(__xludf.DUMMYFUNCTION("""COMPUTED_VALUE"""),"Schmitt UO")</f>
        <v>Schmitt UO</v>
      </c>
      <c r="H89" s="1" t="str">
        <f>IFERROR(__xludf.DUMMYFUNCTION("""COMPUTED_VALUE"""),"Wave 4 (March 26)")</f>
        <v>Wave 4 (March 26)</v>
      </c>
      <c r="I89" s="6" t="str">
        <f>IFERROR(__xludf.DUMMYFUNCTION("""COMPUTED_VALUE"""),"https://drive.google.com/open?id=1b-RnDa3DKN7SoAYxnKRAcW0ADgd2_AZ0")</f>
        <v>https://drive.google.com/open?id=1b-RnDa3DKN7SoAYxnKRAcW0ADgd2_AZ0</v>
      </c>
    </row>
    <row r="90">
      <c r="A90" s="1" t="str">
        <f>IFERROR(__xludf.DUMMYFUNCTION("""COMPUTED_VALUE"""),"Böhringer, Christoph, et al. (2022). ""Potential Impacts and Challenges of Border Carbon Adjustments."" Nature Climate Change, vol. 12, 3 Jan. 2022, pp. 22-29, https://doi.org/10.1038/s41558-021-01250-z.")</f>
        <v>Böhringer, Christoph, et al. (2022). "Potential Impacts and Challenges of Border Carbon Adjustments." Nature Climate Change, vol. 12, 3 Jan. 2022, pp. 22-29, https://doi.org/10.1038/s41558-021-01250-z.</v>
      </c>
      <c r="B90" s="1" t="str">
        <f>IFERROR(__xludf.DUMMYFUNCTION("""COMPUTED_VALUE"""),"Bohringer is a Professor of Economic Policy at the Carl von Ossietzky University Oldenburg")</f>
        <v>Bohringer is a Professor of Economic Policy at the Carl von Ossietzky University Oldenburg</v>
      </c>
      <c r="C90" s="1" t="str">
        <f>IFERROR(__xludf.DUMMYFUNCTION("""COMPUTED_VALUE"""),"MIXED")</f>
        <v>MIXED</v>
      </c>
      <c r="D90" s="1" t="str">
        <f>IFERROR(__xludf.DUMMYFUNCTION("""COMPUTED_VALUE"""),"Carbon Tax")</f>
        <v>Carbon Tax</v>
      </c>
      <c r="E90" s="1" t="str">
        <f>IFERROR(__xludf.DUMMYFUNCTION("""COMPUTED_VALUE"""),"Gives potential benefits and challenges of a BCA")</f>
        <v>Gives potential benefits and challenges of a BCA</v>
      </c>
      <c r="F90" s="1" t="str">
        <f>IFERROR(__xludf.DUMMYFUNCTION("""COMPUTED_VALUE"""),"Harmonized carbon pricing across borders is hard to achieve in the real world as carbon leakage can reduce the cost-effectiveness of unilateral approaches to reduce global emissions. To address this problem, border carbon adjustments (BCAs) would apply th"&amp;"e domestic carbon price to emissions embodied in traded goods, which levels the playing field for emissions-intensive and trade-exposed industries. Here, we review the potential environmental and economic impact of border carbon adjustments on leakage red"&amp;"uction, competitiveness restoration, cost-effectiveness, equity and cooperation enhancement. We find that the viability of border carbon adjustment schemes can be substantially reduced with the current legal and practical implementation constraints.")</f>
        <v>Harmonized carbon pricing across borders is hard to achieve in the real world as carbon leakage can reduce the cost-effectiveness of unilateral approaches to reduce global emissions. To address this problem, border carbon adjustments (BCAs) would apply the domestic carbon price to emissions embodied in traded goods, which levels the playing field for emissions-intensive and trade-exposed industries. Here, we review the potential environmental and economic impact of border carbon adjustments on leakage reduction, competitiveness restoration, cost-effectiveness, equity and cooperation enhancement. We find that the viability of border carbon adjustment schemes can be substantially reduced with the current legal and practical implementation constraints.</v>
      </c>
      <c r="G90" s="1" t="str">
        <f>IFERROR(__xludf.DUMMYFUNCTION("""COMPUTED_VALUE"""),"Woo Hillsdale")</f>
        <v>Woo Hillsdale</v>
      </c>
      <c r="H90" s="1" t="str">
        <f>IFERROR(__xludf.DUMMYFUNCTION("""COMPUTED_VALUE"""),"Wave 4 (March 26)")</f>
        <v>Wave 4 (March 26)</v>
      </c>
      <c r="I90" s="6" t="str">
        <f>IFERROR(__xludf.DUMMYFUNCTION("""COMPUTED_VALUE"""),"https://drive.google.com/open?id=1MftpWFJOpL2kDzHP3Kw3YDAfahiZBg97")</f>
        <v>https://drive.google.com/open?id=1MftpWFJOpL2kDzHP3Kw3YDAfahiZBg97</v>
      </c>
    </row>
    <row r="91">
      <c r="A91" s="1" t="str">
        <f>IFERROR(__xludf.DUMMYFUNCTION("""COMPUTED_VALUE"""),"Bergmann, M., McGeady, C., Svendsen, O., Zacarias, M., &amp; Urbasos, I. (2024). The Response: Policy Interventions and Policy Costs. In Power Plays: Europe’s Response to the Energy Crisis (pp. 28–47). Center for Strategic and International Studies (CSIS). ht"&amp;"tp://www.jstor.org/stable/resrep63070.7")</f>
        <v>Bergmann, M., McGeady, C., Svendsen, O., Zacarias, M., &amp; Urbasos, I. (2024). The Response: Policy Interventions and Policy Costs. In Power Plays: Europe’s Response to the Energy Crisis (pp. 28–47). Center for Strategic and International Studies (CSIS). http://www.jstor.org/stable/resrep63070.7</v>
      </c>
      <c r="B91" s="1" t="str">
        <f>IFERROR(__xludf.DUMMYFUNCTION("""COMPUTED_VALUE"""),"Max Bergmann is the director of the Europe, Russia, and Eurasia Program and the Stuart Center in Euro-Atlantic and Northern European Studies at the Center for Strategic and International Studies (CSIS). Cy McGeady is a fellow in the Energy Security and Cl"&amp;"imate Change Program at the Center for Strategic and International Studies (CSIS). Otto Svendsen is an associate fellow with the Europe, Russia, and Eurasia Program at the Center for Strategic and International Studies (CSIS), where he provides research a"&amp;"nd analysis on political, economic, and security developments in Europe. Mathias Zacarias is an associate fellow and energy transitions fellow in the Energy Security and Climate Change Program at the Center for Strategic and International Studies (CSIS).")</f>
        <v>Max Bergmann is the director of the Europe, Russia, and Eurasia Program and the Stuart Center in Euro-Atlantic and Northern European Studies at the Center for Strategic and International Studies (CSIS). Cy McGeady is a fellow in the Energy Security and Climate Change Program at the Center for Strategic and International Studies (CSIS). Otto Svendsen is an associate fellow with the Europe, Russia, and Eurasia Program at the Center for Strategic and International Studies (CSIS), where he provides research and analysis on political, economic, and security developments in Europe. Mathias Zacarias is an associate fellow and energy transitions fellow in the Energy Security and Climate Change Program at the Center for Strategic and International Studies (CSIS).</v>
      </c>
      <c r="C91" s="1" t="str">
        <f>IFERROR(__xludf.DUMMYFUNCTION("""COMPUTED_VALUE"""),"MIXED")</f>
        <v>MIXED</v>
      </c>
      <c r="D91" s="1" t="str">
        <f>IFERROR(__xludf.DUMMYFUNCTION("""COMPUTED_VALUE"""),"LNG DA")</f>
        <v>LNG DA</v>
      </c>
      <c r="E91" s="1" t="str">
        <f>IFERROR(__xludf.DUMMYFUNCTION("""COMPUTED_VALUE"""),"The article summarizes events in the European energy landscape following Feb. 2022 and the possible avenues to be explored to cover European energy demands. Points to the decreasing reliance on LNG in the region in the status quo and the flexibility of US"&amp;" exports in taking over the formerly Russian share of the market. ")</f>
        <v>The article summarizes events in the European energy landscape following Feb. 2022 and the possible avenues to be explored to cover European energy demands. Points to the decreasing reliance on LNG in the region in the status quo and the flexibility of US exports in taking over the formerly Russian share of the market. </v>
      </c>
      <c r="F91" s="1" t="str">
        <f>IFERROR(__xludf.DUMMYFUNCTION("""COMPUTED_VALUE"""),"NA")</f>
        <v>NA</v>
      </c>
      <c r="G91" s="1" t="str">
        <f>IFERROR(__xludf.DUMMYFUNCTION("""COMPUTED_VALUE"""),"Mironova UO")</f>
        <v>Mironova UO</v>
      </c>
      <c r="H91" s="1" t="str">
        <f>IFERROR(__xludf.DUMMYFUNCTION("""COMPUTED_VALUE"""),"Wave 4 (March 26)")</f>
        <v>Wave 4 (March 26)</v>
      </c>
      <c r="I91" s="6" t="str">
        <f>IFERROR(__xludf.DUMMYFUNCTION("""COMPUTED_VALUE"""),"https://drive.google.com/open?id=15KrKDYrRGwwFYcCFIYwPR5A-0AG1lE88")</f>
        <v>https://drive.google.com/open?id=15KrKDYrRGwwFYcCFIYwPR5A-0AG1lE88</v>
      </c>
    </row>
  </sheetData>
  <hyperlinks>
    <hyperlink r:id="rId1" ref="I2"/>
    <hyperlink r:id="rId2" ref="I3"/>
    <hyperlink r:id="rId3" ref="I4"/>
    <hyperlink r:id="rId4" ref="I5"/>
    <hyperlink r:id="rId5" ref="I6"/>
    <hyperlink r:id="rId6" ref="I7"/>
    <hyperlink r:id="rId7" ref="I8"/>
    <hyperlink r:id="rId8" ref="I9"/>
    <hyperlink r:id="rId9" ref="I10"/>
    <hyperlink r:id="rId10" ref="I11"/>
    <hyperlink r:id="rId11" ref="I12"/>
    <hyperlink r:id="rId12" ref="I13"/>
    <hyperlink r:id="rId13" ref="I14"/>
    <hyperlink r:id="rId14" ref="I15"/>
    <hyperlink r:id="rId15" ref="I16"/>
    <hyperlink r:id="rId16" ref="I17"/>
    <hyperlink r:id="rId17" ref="I18"/>
    <hyperlink r:id="rId18" ref="I19"/>
    <hyperlink r:id="rId19" ref="I20"/>
    <hyperlink r:id="rId20" ref="I21"/>
    <hyperlink r:id="rId21" ref="I22"/>
    <hyperlink r:id="rId22" ref="I23"/>
    <hyperlink r:id="rId23" ref="I24"/>
    <hyperlink r:id="rId24" ref="I25"/>
    <hyperlink r:id="rId25" ref="I26"/>
    <hyperlink r:id="rId26" ref="I27"/>
    <hyperlink r:id="rId27" ref="I28"/>
    <hyperlink r:id="rId28" ref="I29"/>
    <hyperlink r:id="rId29" ref="I30"/>
    <hyperlink r:id="rId30" ref="I31"/>
    <hyperlink r:id="rId31" ref="I32"/>
    <hyperlink r:id="rId32" ref="I33"/>
    <hyperlink r:id="rId33" ref="I34"/>
    <hyperlink r:id="rId34" ref="I35"/>
    <hyperlink r:id="rId35" ref="I36"/>
    <hyperlink r:id="rId36" ref="I37"/>
    <hyperlink r:id="rId37" ref="I38"/>
    <hyperlink r:id="rId38" ref="I39"/>
    <hyperlink r:id="rId39" ref="I40"/>
    <hyperlink r:id="rId40" ref="I41"/>
    <hyperlink r:id="rId41" ref="I42"/>
    <hyperlink r:id="rId42" ref="I43"/>
    <hyperlink r:id="rId43" ref="I44"/>
    <hyperlink r:id="rId44" ref="I45"/>
    <hyperlink r:id="rId45" ref="I46"/>
    <hyperlink r:id="rId46" ref="I47"/>
    <hyperlink r:id="rId47" ref="I48"/>
    <hyperlink r:id="rId48" ref="I49"/>
    <hyperlink r:id="rId49" ref="I50"/>
    <hyperlink r:id="rId50" ref="I51"/>
    <hyperlink r:id="rId51" ref="I52"/>
    <hyperlink r:id="rId52" ref="I53"/>
    <hyperlink r:id="rId53" ref="I54"/>
    <hyperlink r:id="rId54" ref="I55"/>
    <hyperlink r:id="rId55" ref="I56"/>
    <hyperlink r:id="rId56" ref="I57"/>
    <hyperlink r:id="rId57" ref="I58"/>
    <hyperlink r:id="rId58" ref="I59"/>
    <hyperlink r:id="rId59" ref="I60"/>
    <hyperlink r:id="rId60" ref="I61"/>
    <hyperlink r:id="rId61" ref="I62"/>
    <hyperlink r:id="rId62" ref="I63"/>
    <hyperlink r:id="rId63" ref="I64"/>
    <hyperlink r:id="rId64" ref="I65"/>
    <hyperlink r:id="rId65" ref="I66"/>
    <hyperlink r:id="rId66" ref="I67"/>
    <hyperlink r:id="rId67" ref="I68"/>
    <hyperlink r:id="rId68" ref="I69"/>
    <hyperlink r:id="rId69" ref="I70"/>
    <hyperlink r:id="rId70" ref="I71"/>
    <hyperlink r:id="rId71" ref="I72"/>
    <hyperlink r:id="rId72" ref="I73"/>
    <hyperlink r:id="rId73" ref="I74"/>
    <hyperlink r:id="rId74" ref="I75"/>
    <hyperlink r:id="rId75" ref="I76"/>
    <hyperlink r:id="rId76" ref="I77"/>
    <hyperlink r:id="rId77" ref="I78"/>
    <hyperlink r:id="rId78" ref="I79"/>
    <hyperlink r:id="rId79" ref="I80"/>
    <hyperlink r:id="rId80" ref="I81"/>
    <hyperlink r:id="rId81" ref="I82"/>
    <hyperlink r:id="rId82" ref="I83"/>
    <hyperlink r:id="rId83" ref="I84"/>
    <hyperlink r:id="rId84" ref="I85"/>
    <hyperlink r:id="rId85" ref="I86"/>
    <hyperlink r:id="rId86" ref="I87"/>
    <hyperlink r:id="rId87" ref="I88"/>
    <hyperlink r:id="rId88" ref="I89"/>
    <hyperlink r:id="rId89" ref="I90"/>
    <hyperlink r:id="rId90" ref="I91"/>
  </hyperlinks>
  <drawing r:id="rId9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1" t="s">
        <v>12</v>
      </c>
      <c r="B2" s="1" t="s">
        <v>13</v>
      </c>
      <c r="C2" s="1" t="s">
        <v>14</v>
      </c>
      <c r="D2" s="1" t="s">
        <v>15</v>
      </c>
      <c r="E2" s="1" t="s">
        <v>16</v>
      </c>
      <c r="F2" s="1" t="s">
        <v>17</v>
      </c>
      <c r="G2" s="1" t="s">
        <v>18</v>
      </c>
      <c r="H2" s="1" t="s">
        <v>19</v>
      </c>
      <c r="I2" s="7" t="s">
        <v>20</v>
      </c>
    </row>
    <row r="3" ht="97.5" hidden="1" customHeight="1">
      <c r="A3" s="12"/>
      <c r="B3" s="12"/>
      <c r="C3" s="13"/>
      <c r="D3" s="12"/>
      <c r="E3" s="12"/>
      <c r="F3" s="14"/>
      <c r="G3" s="13"/>
      <c r="H3" s="13"/>
      <c r="I3" s="15"/>
      <c r="J3" s="16"/>
      <c r="K3" s="16"/>
      <c r="L3" s="16"/>
      <c r="M3" s="16"/>
      <c r="N3" s="16"/>
      <c r="O3" s="16"/>
      <c r="P3" s="16"/>
      <c r="Q3" s="16"/>
      <c r="R3" s="16"/>
      <c r="S3" s="16"/>
      <c r="T3" s="16"/>
      <c r="U3" s="16"/>
      <c r="V3" s="16"/>
      <c r="W3" s="16"/>
      <c r="X3" s="16"/>
      <c r="Y3" s="16"/>
      <c r="Z3" s="16"/>
    </row>
    <row r="4" ht="63.75" hidden="1" customHeight="1">
      <c r="A4" s="17"/>
      <c r="B4" s="17"/>
      <c r="C4" s="18"/>
      <c r="D4" s="17"/>
      <c r="E4" s="17"/>
      <c r="F4" s="17"/>
      <c r="G4" s="18"/>
      <c r="H4" s="18"/>
      <c r="I4" s="19"/>
      <c r="J4" s="20"/>
      <c r="K4" s="20"/>
      <c r="L4" s="20"/>
      <c r="M4" s="20"/>
      <c r="N4" s="20"/>
      <c r="O4" s="20"/>
      <c r="P4" s="20"/>
      <c r="Q4" s="20"/>
      <c r="R4" s="20"/>
      <c r="S4" s="20"/>
      <c r="T4" s="20"/>
      <c r="U4" s="20"/>
      <c r="V4" s="20"/>
      <c r="W4" s="20"/>
      <c r="X4" s="20"/>
      <c r="Y4" s="20"/>
      <c r="Z4" s="20"/>
    </row>
    <row r="5" ht="97.5" hidden="1" customHeight="1">
      <c r="A5" s="17"/>
      <c r="B5" s="17"/>
      <c r="C5" s="18"/>
      <c r="D5" s="17"/>
      <c r="E5" s="17"/>
      <c r="F5" s="17"/>
      <c r="G5" s="18"/>
      <c r="H5" s="18"/>
      <c r="I5" s="19"/>
      <c r="J5" s="20"/>
      <c r="K5" s="20"/>
      <c r="L5" s="20"/>
      <c r="M5" s="20"/>
      <c r="N5" s="20"/>
      <c r="O5" s="20"/>
      <c r="P5" s="20"/>
      <c r="Q5" s="20"/>
      <c r="R5" s="20"/>
      <c r="S5" s="20"/>
      <c r="T5" s="20"/>
      <c r="U5" s="20"/>
      <c r="V5" s="20"/>
      <c r="W5" s="20"/>
      <c r="X5" s="20"/>
      <c r="Y5" s="20"/>
      <c r="Z5" s="20"/>
    </row>
    <row r="6" ht="77.25" hidden="1" customHeight="1">
      <c r="A6" s="17"/>
      <c r="B6" s="17"/>
      <c r="C6" s="18"/>
      <c r="D6" s="17"/>
      <c r="E6" s="17"/>
      <c r="F6" s="21"/>
      <c r="G6" s="18"/>
      <c r="H6" s="18"/>
      <c r="I6" s="22"/>
      <c r="J6" s="20"/>
      <c r="K6" s="20"/>
      <c r="L6" s="20"/>
      <c r="M6" s="20"/>
      <c r="N6" s="20"/>
      <c r="O6" s="20"/>
      <c r="P6" s="20"/>
      <c r="Q6" s="20"/>
      <c r="R6" s="20"/>
      <c r="S6" s="20"/>
      <c r="T6" s="20"/>
      <c r="U6" s="20"/>
      <c r="V6" s="20"/>
      <c r="W6" s="20"/>
      <c r="X6" s="20"/>
      <c r="Y6" s="20"/>
      <c r="Z6" s="20"/>
    </row>
    <row r="7" ht="48.75" customHeight="1">
      <c r="A7" s="1" t="s">
        <v>21</v>
      </c>
      <c r="B7" s="1" t="s">
        <v>22</v>
      </c>
      <c r="C7" s="1" t="s">
        <v>14</v>
      </c>
      <c r="D7" s="1" t="s">
        <v>15</v>
      </c>
      <c r="E7" s="1" t="s">
        <v>23</v>
      </c>
      <c r="F7" s="1" t="s">
        <v>24</v>
      </c>
      <c r="G7" s="1" t="s">
        <v>25</v>
      </c>
      <c r="H7" s="1" t="s">
        <v>19</v>
      </c>
      <c r="I7" s="6" t="s">
        <v>26</v>
      </c>
    </row>
    <row r="8" ht="68.25" customHeight="1">
      <c r="A8" s="1" t="s">
        <v>27</v>
      </c>
      <c r="B8" s="1" t="s">
        <v>28</v>
      </c>
      <c r="C8" s="1" t="s">
        <v>14</v>
      </c>
      <c r="D8" s="1" t="s">
        <v>15</v>
      </c>
      <c r="E8" s="1" t="s">
        <v>29</v>
      </c>
      <c r="F8" s="1" t="s">
        <v>24</v>
      </c>
      <c r="G8" s="1" t="s">
        <v>25</v>
      </c>
      <c r="H8" s="1" t="s">
        <v>19</v>
      </c>
      <c r="I8" s="6" t="s">
        <v>30</v>
      </c>
    </row>
    <row r="9" ht="73.5" customHeight="1">
      <c r="A9" s="1" t="s">
        <v>31</v>
      </c>
      <c r="B9" s="1" t="s">
        <v>32</v>
      </c>
      <c r="C9" s="1" t="s">
        <v>33</v>
      </c>
      <c r="D9" s="1" t="s">
        <v>15</v>
      </c>
      <c r="E9" s="1" t="s">
        <v>34</v>
      </c>
      <c r="F9" s="1" t="s">
        <v>35</v>
      </c>
      <c r="G9" s="1" t="s">
        <v>36</v>
      </c>
      <c r="H9" s="1" t="s">
        <v>19</v>
      </c>
      <c r="I9" s="6" t="s">
        <v>37</v>
      </c>
    </row>
    <row r="10" ht="97.5" customHeight="1">
      <c r="A10" s="1" t="s">
        <v>38</v>
      </c>
      <c r="B10" s="1" t="s">
        <v>39</v>
      </c>
      <c r="C10" s="1" t="s">
        <v>33</v>
      </c>
      <c r="D10" s="1" t="s">
        <v>15</v>
      </c>
      <c r="E10" s="1" t="s">
        <v>40</v>
      </c>
      <c r="F10" s="1" t="s">
        <v>41</v>
      </c>
      <c r="G10" s="1" t="s">
        <v>42</v>
      </c>
      <c r="H10" s="1" t="s">
        <v>43</v>
      </c>
      <c r="I10" s="6" t="s">
        <v>44</v>
      </c>
    </row>
    <row r="11" ht="78.0" hidden="1" customHeight="1">
      <c r="A11" s="17"/>
      <c r="B11" s="17"/>
      <c r="C11" s="18"/>
      <c r="D11" s="17"/>
      <c r="E11" s="17"/>
      <c r="F11" s="17"/>
      <c r="G11" s="18"/>
      <c r="H11" s="18"/>
      <c r="I11" s="19"/>
      <c r="J11" s="20"/>
      <c r="K11" s="20"/>
      <c r="L11" s="20"/>
      <c r="M11" s="20"/>
      <c r="N11" s="20"/>
      <c r="O11" s="20"/>
      <c r="P11" s="20"/>
      <c r="Q11" s="20"/>
      <c r="R11" s="20"/>
      <c r="S11" s="20"/>
      <c r="T11" s="20"/>
      <c r="U11" s="20"/>
      <c r="V11" s="20"/>
      <c r="W11" s="20"/>
      <c r="X11" s="20"/>
      <c r="Y11" s="20"/>
      <c r="Z11" s="20"/>
    </row>
    <row r="12" ht="73.5" hidden="1" customHeight="1">
      <c r="A12" s="17"/>
      <c r="B12" s="17"/>
      <c r="C12" s="18"/>
      <c r="D12" s="17"/>
      <c r="E12" s="17"/>
      <c r="F12" s="21"/>
      <c r="G12" s="18"/>
      <c r="H12" s="18"/>
      <c r="I12" s="19"/>
      <c r="J12" s="20"/>
      <c r="K12" s="20"/>
      <c r="L12" s="20"/>
      <c r="M12" s="20"/>
      <c r="N12" s="20"/>
      <c r="O12" s="20"/>
      <c r="P12" s="20"/>
      <c r="Q12" s="20"/>
      <c r="R12" s="20"/>
      <c r="S12" s="20"/>
      <c r="T12" s="20"/>
      <c r="U12" s="20"/>
      <c r="V12" s="20"/>
      <c r="W12" s="20"/>
      <c r="X12" s="20"/>
      <c r="Y12" s="20"/>
      <c r="Z12" s="20"/>
    </row>
    <row r="13" ht="70.5" customHeight="1">
      <c r="A13" s="1" t="s">
        <v>45</v>
      </c>
      <c r="B13" s="1" t="s">
        <v>46</v>
      </c>
      <c r="C13" s="1" t="s">
        <v>33</v>
      </c>
      <c r="D13" s="1" t="s">
        <v>15</v>
      </c>
      <c r="E13" s="1" t="s">
        <v>47</v>
      </c>
      <c r="F13" s="1" t="s">
        <v>48</v>
      </c>
      <c r="G13" s="1" t="s">
        <v>49</v>
      </c>
      <c r="H13" s="1" t="s">
        <v>43</v>
      </c>
      <c r="I13" s="6" t="s">
        <v>50</v>
      </c>
    </row>
    <row r="14" ht="97.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1.25" hidden="1" customHeight="1">
      <c r="A15" s="17"/>
      <c r="B15" s="17"/>
      <c r="C15" s="18"/>
      <c r="D15" s="17"/>
      <c r="E15" s="17"/>
      <c r="F15" s="17"/>
      <c r="G15" s="18"/>
      <c r="H15" s="18"/>
      <c r="I15" s="19"/>
      <c r="J15" s="20"/>
      <c r="K15" s="20"/>
      <c r="L15" s="20"/>
      <c r="M15" s="20"/>
      <c r="N15" s="20"/>
      <c r="O15" s="20"/>
      <c r="P15" s="20"/>
      <c r="Q15" s="20"/>
      <c r="R15" s="20"/>
      <c r="S15" s="20"/>
      <c r="T15" s="20"/>
      <c r="U15" s="20"/>
      <c r="V15" s="20"/>
      <c r="W15" s="20"/>
      <c r="X15" s="20"/>
      <c r="Y15" s="20"/>
      <c r="Z15" s="20"/>
    </row>
    <row r="16" ht="70.5" customHeight="1">
      <c r="A16" s="1" t="s">
        <v>51</v>
      </c>
      <c r="B16" s="1" t="s">
        <v>52</v>
      </c>
      <c r="C16" s="1" t="s">
        <v>53</v>
      </c>
      <c r="D16" s="1" t="s">
        <v>15</v>
      </c>
      <c r="E16" s="1" t="s">
        <v>54</v>
      </c>
      <c r="F16" s="1" t="s">
        <v>24</v>
      </c>
      <c r="G16" s="1" t="s">
        <v>25</v>
      </c>
      <c r="H16" s="1" t="s">
        <v>19</v>
      </c>
      <c r="I16" s="6" t="s">
        <v>55</v>
      </c>
    </row>
    <row r="17" ht="51.0"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ht="47.25" hidden="1" customHeight="1">
      <c r="A18" s="17"/>
      <c r="B18" s="17"/>
      <c r="C18" s="18"/>
      <c r="D18" s="17"/>
      <c r="E18" s="17"/>
      <c r="F18" s="17"/>
      <c r="G18" s="18"/>
      <c r="H18" s="18"/>
      <c r="I18" s="19"/>
      <c r="J18" s="20"/>
      <c r="K18" s="20"/>
      <c r="L18" s="20"/>
      <c r="M18" s="20"/>
      <c r="N18" s="20"/>
      <c r="O18" s="20"/>
      <c r="P18" s="20"/>
      <c r="Q18" s="20"/>
      <c r="R18" s="20"/>
      <c r="S18" s="20"/>
      <c r="T18" s="20"/>
      <c r="U18" s="20"/>
      <c r="V18" s="20"/>
      <c r="W18" s="20"/>
      <c r="X18" s="20"/>
      <c r="Y18" s="20"/>
      <c r="Z18" s="20"/>
    </row>
    <row r="19">
      <c r="A19" s="1" t="s">
        <v>56</v>
      </c>
      <c r="B19" s="1" t="s">
        <v>57</v>
      </c>
      <c r="C19" s="1" t="s">
        <v>53</v>
      </c>
      <c r="D19" s="1" t="s">
        <v>15</v>
      </c>
      <c r="E19" s="1" t="s">
        <v>58</v>
      </c>
      <c r="F19" s="1" t="s">
        <v>59</v>
      </c>
      <c r="G19" s="1" t="s">
        <v>49</v>
      </c>
      <c r="H19" s="1" t="s">
        <v>60</v>
      </c>
      <c r="I19" s="6" t="s">
        <v>61</v>
      </c>
    </row>
    <row r="20">
      <c r="A20" s="1" t="s">
        <v>62</v>
      </c>
      <c r="B20" s="1" t="s">
        <v>63</v>
      </c>
      <c r="C20" s="1" t="s">
        <v>53</v>
      </c>
      <c r="D20" s="1" t="s">
        <v>15</v>
      </c>
      <c r="E20" s="1" t="s">
        <v>64</v>
      </c>
      <c r="G20" s="1" t="s">
        <v>65</v>
      </c>
      <c r="H20" s="1" t="s">
        <v>66</v>
      </c>
      <c r="I20" s="6" t="s">
        <v>67</v>
      </c>
    </row>
    <row r="21">
      <c r="A21" s="1" t="s">
        <v>68</v>
      </c>
      <c r="B21" s="1" t="s">
        <v>69</v>
      </c>
      <c r="C21" s="1" t="s">
        <v>53</v>
      </c>
      <c r="D21" s="1" t="s">
        <v>70</v>
      </c>
      <c r="E21" s="1" t="s">
        <v>71</v>
      </c>
      <c r="F21" s="1" t="s">
        <v>72</v>
      </c>
      <c r="G21" s="1" t="s">
        <v>18</v>
      </c>
      <c r="H21" s="1" t="s">
        <v>19</v>
      </c>
      <c r="I21" s="6" t="s">
        <v>73</v>
      </c>
    </row>
    <row r="22">
      <c r="A22" s="1" t="s">
        <v>74</v>
      </c>
      <c r="B22" s="1" t="s">
        <v>75</v>
      </c>
      <c r="C22" s="1" t="s">
        <v>53</v>
      </c>
      <c r="D22" s="3" t="s">
        <v>76</v>
      </c>
      <c r="E22" s="1" t="s">
        <v>77</v>
      </c>
      <c r="F22" s="1" t="s">
        <v>78</v>
      </c>
      <c r="G22" s="1" t="s">
        <v>79</v>
      </c>
      <c r="H22" s="1" t="s">
        <v>66</v>
      </c>
      <c r="I22" s="6" t="s">
        <v>80</v>
      </c>
    </row>
    <row r="23">
      <c r="A23" s="1" t="s">
        <v>81</v>
      </c>
      <c r="B23" s="1" t="s">
        <v>82</v>
      </c>
      <c r="C23" s="1" t="s">
        <v>53</v>
      </c>
      <c r="D23" s="1" t="s">
        <v>83</v>
      </c>
      <c r="E23" s="1" t="s">
        <v>84</v>
      </c>
      <c r="F23" s="1" t="s">
        <v>85</v>
      </c>
      <c r="G23" s="1" t="s">
        <v>86</v>
      </c>
      <c r="H23" s="1" t="s">
        <v>43</v>
      </c>
      <c r="I23" s="6" t="s">
        <v>87</v>
      </c>
    </row>
    <row r="24">
      <c r="A24" s="1" t="s">
        <v>88</v>
      </c>
      <c r="B24" s="1" t="s">
        <v>89</v>
      </c>
      <c r="C24" s="1" t="s">
        <v>53</v>
      </c>
      <c r="D24" s="1" t="s">
        <v>15</v>
      </c>
      <c r="E24" s="1" t="s">
        <v>90</v>
      </c>
      <c r="F24" s="1" t="s">
        <v>91</v>
      </c>
      <c r="G24" s="1" t="s">
        <v>92</v>
      </c>
      <c r="H24" s="1" t="s">
        <v>43</v>
      </c>
      <c r="I24" s="6" t="s">
        <v>93</v>
      </c>
    </row>
    <row r="25">
      <c r="A25" s="1" t="s">
        <v>94</v>
      </c>
      <c r="B25" s="1" t="s">
        <v>95</v>
      </c>
      <c r="C25" s="1" t="s">
        <v>53</v>
      </c>
      <c r="D25" s="1" t="s">
        <v>15</v>
      </c>
      <c r="E25" s="1" t="s">
        <v>96</v>
      </c>
      <c r="F25" s="1" t="s">
        <v>97</v>
      </c>
      <c r="G25" s="1" t="s">
        <v>86</v>
      </c>
      <c r="H25" s="1" t="s">
        <v>43</v>
      </c>
      <c r="I25" s="6" t="s">
        <v>98</v>
      </c>
    </row>
    <row r="26">
      <c r="A26" s="2"/>
      <c r="B26" s="2"/>
      <c r="D26" s="2"/>
      <c r="E26" s="2"/>
      <c r="F26" s="2"/>
      <c r="I26" s="23"/>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row r="117">
      <c r="A117" s="2"/>
      <c r="B117" s="2"/>
      <c r="D117" s="2"/>
      <c r="E117" s="2"/>
      <c r="F117" s="2"/>
      <c r="I117" s="23"/>
    </row>
    <row r="118">
      <c r="A118" s="2"/>
      <c r="B118" s="2"/>
      <c r="D118" s="2"/>
      <c r="E118" s="2"/>
      <c r="F118" s="2"/>
      <c r="I118" s="23"/>
    </row>
  </sheetData>
  <autoFilter ref="$D$1:$D$118"/>
  <hyperlinks>
    <hyperlink r:id="rId1" ref="I2"/>
    <hyperlink r:id="rId2" ref="I7"/>
    <hyperlink r:id="rId3" ref="I8"/>
    <hyperlink r:id="rId4" ref="I9"/>
    <hyperlink r:id="rId5" ref="I10"/>
    <hyperlink r:id="rId6" ref="I13"/>
    <hyperlink r:id="rId7" ref="I16"/>
    <hyperlink r:id="rId8" ref="I19"/>
    <hyperlink r:id="rId9" ref="I20"/>
    <hyperlink r:id="rId10" ref="I21"/>
    <hyperlink r:id="rId11" ref="I22"/>
    <hyperlink r:id="rId12" ref="I23"/>
    <hyperlink r:id="rId13" ref="I24"/>
    <hyperlink r:id="rId14" ref="I25"/>
  </hyperlinks>
  <drawing r:id="rId1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7" t="s">
        <v>99</v>
      </c>
      <c r="B2" s="1" t="s">
        <v>100</v>
      </c>
      <c r="C2" s="1" t="s">
        <v>14</v>
      </c>
      <c r="D2" s="1" t="s">
        <v>101</v>
      </c>
      <c r="E2" s="1" t="s">
        <v>102</v>
      </c>
      <c r="G2" s="1" t="s">
        <v>79</v>
      </c>
      <c r="H2" s="1" t="s">
        <v>19</v>
      </c>
      <c r="I2" s="6" t="s">
        <v>103</v>
      </c>
    </row>
    <row r="3" ht="97.5" hidden="1" customHeight="1">
      <c r="A3" s="12"/>
      <c r="B3" s="12"/>
      <c r="C3" s="13"/>
      <c r="D3" s="12"/>
      <c r="E3" s="12"/>
      <c r="F3" s="14"/>
      <c r="G3" s="13"/>
      <c r="H3" s="13"/>
      <c r="I3" s="15"/>
      <c r="J3" s="16"/>
      <c r="K3" s="16"/>
      <c r="L3" s="16"/>
      <c r="M3" s="16"/>
      <c r="N3" s="16"/>
      <c r="O3" s="16"/>
      <c r="P3" s="16"/>
      <c r="Q3" s="16"/>
      <c r="R3" s="16"/>
      <c r="S3" s="16"/>
      <c r="T3" s="16"/>
      <c r="U3" s="16"/>
      <c r="V3" s="16"/>
      <c r="W3" s="16"/>
      <c r="X3" s="16"/>
      <c r="Y3" s="16"/>
      <c r="Z3" s="16"/>
    </row>
    <row r="4" ht="63.75" hidden="1" customHeight="1">
      <c r="A4" s="17"/>
      <c r="B4" s="17"/>
      <c r="C4" s="18"/>
      <c r="D4" s="17"/>
      <c r="E4" s="17"/>
      <c r="F4" s="17"/>
      <c r="G4" s="18"/>
      <c r="H4" s="18"/>
      <c r="I4" s="19"/>
      <c r="J4" s="20"/>
      <c r="K4" s="20"/>
      <c r="L4" s="20"/>
      <c r="M4" s="20"/>
      <c r="N4" s="20"/>
      <c r="O4" s="20"/>
      <c r="P4" s="20"/>
      <c r="Q4" s="20"/>
      <c r="R4" s="20"/>
      <c r="S4" s="20"/>
      <c r="T4" s="20"/>
      <c r="U4" s="20"/>
      <c r="V4" s="20"/>
      <c r="W4" s="20"/>
      <c r="X4" s="20"/>
      <c r="Y4" s="20"/>
      <c r="Z4" s="20"/>
    </row>
    <row r="5" ht="97.5" hidden="1" customHeight="1">
      <c r="A5" s="17"/>
      <c r="B5" s="17"/>
      <c r="C5" s="18"/>
      <c r="D5" s="17"/>
      <c r="E5" s="17"/>
      <c r="F5" s="17"/>
      <c r="G5" s="18"/>
      <c r="H5" s="18"/>
      <c r="I5" s="19"/>
      <c r="J5" s="20"/>
      <c r="K5" s="20"/>
      <c r="L5" s="20"/>
      <c r="M5" s="20"/>
      <c r="N5" s="20"/>
      <c r="O5" s="20"/>
      <c r="P5" s="20"/>
      <c r="Q5" s="20"/>
      <c r="R5" s="20"/>
      <c r="S5" s="20"/>
      <c r="T5" s="20"/>
      <c r="U5" s="20"/>
      <c r="V5" s="20"/>
      <c r="W5" s="20"/>
      <c r="X5" s="20"/>
      <c r="Y5" s="20"/>
      <c r="Z5" s="20"/>
    </row>
    <row r="6" ht="77.25" hidden="1" customHeight="1">
      <c r="A6" s="17"/>
      <c r="B6" s="17"/>
      <c r="C6" s="18"/>
      <c r="D6" s="17"/>
      <c r="E6" s="17"/>
      <c r="F6" s="21"/>
      <c r="G6" s="18"/>
      <c r="H6" s="18"/>
      <c r="I6" s="22"/>
      <c r="J6" s="20"/>
      <c r="K6" s="20"/>
      <c r="L6" s="20"/>
      <c r="M6" s="20"/>
      <c r="N6" s="20"/>
      <c r="O6" s="20"/>
      <c r="P6" s="20"/>
      <c r="Q6" s="20"/>
      <c r="R6" s="20"/>
      <c r="S6" s="20"/>
      <c r="T6" s="20"/>
      <c r="U6" s="20"/>
      <c r="V6" s="20"/>
      <c r="W6" s="20"/>
      <c r="X6" s="20"/>
      <c r="Y6" s="20"/>
      <c r="Z6" s="20"/>
    </row>
    <row r="7" ht="48.75" customHeight="1">
      <c r="A7" s="7" t="s">
        <v>104</v>
      </c>
      <c r="B7" s="1" t="s">
        <v>105</v>
      </c>
      <c r="C7" s="1" t="s">
        <v>14</v>
      </c>
      <c r="D7" s="1" t="s">
        <v>101</v>
      </c>
      <c r="E7" s="1" t="s">
        <v>106</v>
      </c>
      <c r="G7" s="1" t="s">
        <v>79</v>
      </c>
      <c r="H7" s="1" t="s">
        <v>19</v>
      </c>
      <c r="I7" s="6" t="s">
        <v>107</v>
      </c>
    </row>
    <row r="8" ht="68.25" customHeight="1">
      <c r="A8" s="7" t="s">
        <v>108</v>
      </c>
      <c r="B8" s="1" t="s">
        <v>109</v>
      </c>
      <c r="C8" s="1" t="s">
        <v>14</v>
      </c>
      <c r="D8" s="1" t="s">
        <v>101</v>
      </c>
      <c r="E8" s="1" t="s">
        <v>110</v>
      </c>
      <c r="G8" s="1" t="s">
        <v>79</v>
      </c>
      <c r="H8" s="1" t="s">
        <v>19</v>
      </c>
      <c r="I8" s="6" t="s">
        <v>111</v>
      </c>
    </row>
    <row r="9" ht="73.5" customHeight="1">
      <c r="A9" s="1" t="s">
        <v>112</v>
      </c>
      <c r="B9" s="1" t="s">
        <v>113</v>
      </c>
      <c r="C9" s="1" t="s">
        <v>53</v>
      </c>
      <c r="D9" s="1" t="s">
        <v>101</v>
      </c>
      <c r="E9" s="1" t="s">
        <v>114</v>
      </c>
      <c r="F9" s="1" t="s">
        <v>115</v>
      </c>
      <c r="G9" s="1" t="s">
        <v>79</v>
      </c>
      <c r="H9" s="1" t="s">
        <v>19</v>
      </c>
      <c r="I9" s="6" t="s">
        <v>116</v>
      </c>
    </row>
    <row r="10" ht="97.5" customHeight="1">
      <c r="A10" s="1" t="s">
        <v>117</v>
      </c>
      <c r="B10" s="1" t="s">
        <v>118</v>
      </c>
      <c r="C10" s="1" t="s">
        <v>53</v>
      </c>
      <c r="D10" s="1" t="s">
        <v>101</v>
      </c>
      <c r="E10" s="1" t="s">
        <v>119</v>
      </c>
      <c r="F10" s="1" t="s">
        <v>120</v>
      </c>
      <c r="G10" s="1" t="s">
        <v>121</v>
      </c>
      <c r="H10" s="1" t="s">
        <v>19</v>
      </c>
      <c r="I10" s="6" t="s">
        <v>122</v>
      </c>
    </row>
    <row r="11" ht="78.0" hidden="1" customHeight="1">
      <c r="A11" s="1" t="s">
        <v>123</v>
      </c>
      <c r="B11" s="1" t="s">
        <v>109</v>
      </c>
      <c r="C11" s="1" t="s">
        <v>14</v>
      </c>
      <c r="D11" s="1" t="s">
        <v>101</v>
      </c>
      <c r="E11" s="1" t="s">
        <v>110</v>
      </c>
      <c r="G11" s="1" t="s">
        <v>79</v>
      </c>
      <c r="H11" s="1" t="s">
        <v>19</v>
      </c>
      <c r="I11" s="6" t="s">
        <v>111</v>
      </c>
    </row>
    <row r="12" ht="73.5" hidden="1" customHeight="1">
      <c r="A12" s="17"/>
      <c r="B12" s="17"/>
      <c r="C12" s="18"/>
      <c r="D12" s="17"/>
      <c r="E12" s="17"/>
      <c r="F12" s="21"/>
      <c r="G12" s="18"/>
      <c r="H12" s="18"/>
      <c r="I12" s="19"/>
      <c r="J12" s="20"/>
      <c r="K12" s="20"/>
      <c r="L12" s="20"/>
      <c r="M12" s="20"/>
      <c r="N12" s="20"/>
      <c r="O12" s="20"/>
      <c r="P12" s="20"/>
      <c r="Q12" s="20"/>
      <c r="R12" s="20"/>
      <c r="S12" s="20"/>
      <c r="T12" s="20"/>
      <c r="U12" s="20"/>
      <c r="V12" s="20"/>
      <c r="W12" s="20"/>
      <c r="X12" s="20"/>
      <c r="Y12" s="20"/>
      <c r="Z12" s="20"/>
    </row>
    <row r="13" ht="70.5" customHeight="1">
      <c r="A13" s="1" t="s">
        <v>124</v>
      </c>
      <c r="B13" s="1" t="s">
        <v>125</v>
      </c>
      <c r="C13" s="1" t="s">
        <v>53</v>
      </c>
      <c r="D13" s="1" t="s">
        <v>101</v>
      </c>
      <c r="E13" s="1" t="s">
        <v>126</v>
      </c>
      <c r="F13" s="1" t="s">
        <v>127</v>
      </c>
      <c r="G13" s="1" t="s">
        <v>121</v>
      </c>
      <c r="H13" s="1" t="s">
        <v>19</v>
      </c>
      <c r="I13" s="7" t="s">
        <v>128</v>
      </c>
    </row>
    <row r="14" ht="97.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1.25" hidden="1" customHeight="1">
      <c r="A15" s="17"/>
      <c r="B15" s="17"/>
      <c r="C15" s="18"/>
      <c r="D15" s="17"/>
      <c r="E15" s="17"/>
      <c r="F15" s="17"/>
      <c r="G15" s="18"/>
      <c r="H15" s="18"/>
      <c r="I15" s="19"/>
      <c r="J15" s="20"/>
      <c r="K15" s="20"/>
      <c r="L15" s="20"/>
      <c r="M15" s="20"/>
      <c r="N15" s="20"/>
      <c r="O15" s="20"/>
      <c r="P15" s="20"/>
      <c r="Q15" s="20"/>
      <c r="R15" s="20"/>
      <c r="S15" s="20"/>
      <c r="T15" s="20"/>
      <c r="U15" s="20"/>
      <c r="V15" s="20"/>
      <c r="W15" s="20"/>
      <c r="X15" s="20"/>
      <c r="Y15" s="20"/>
      <c r="Z15" s="20"/>
    </row>
    <row r="16" ht="70.5" customHeight="1">
      <c r="A16" s="1" t="s">
        <v>129</v>
      </c>
      <c r="B16" s="1" t="s">
        <v>130</v>
      </c>
      <c r="C16" s="1" t="s">
        <v>53</v>
      </c>
      <c r="D16" s="1" t="s">
        <v>101</v>
      </c>
      <c r="E16" s="1" t="s">
        <v>131</v>
      </c>
      <c r="F16" s="1" t="s">
        <v>132</v>
      </c>
      <c r="G16" s="1" t="s">
        <v>133</v>
      </c>
      <c r="H16" s="1" t="s">
        <v>66</v>
      </c>
      <c r="I16" s="6" t="s">
        <v>134</v>
      </c>
    </row>
    <row r="17" ht="51.0"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ht="47.25" hidden="1" customHeight="1">
      <c r="A18" s="17"/>
      <c r="B18" s="17"/>
      <c r="C18" s="18"/>
      <c r="D18" s="17"/>
      <c r="E18" s="17"/>
      <c r="F18" s="17"/>
      <c r="G18" s="18"/>
      <c r="H18" s="18"/>
      <c r="I18" s="19"/>
      <c r="J18" s="20"/>
      <c r="K18" s="20"/>
      <c r="L18" s="20"/>
      <c r="M18" s="20"/>
      <c r="N18" s="20"/>
      <c r="O18" s="20"/>
      <c r="P18" s="20"/>
      <c r="Q18" s="20"/>
      <c r="R18" s="20"/>
      <c r="S18" s="20"/>
      <c r="T18" s="20"/>
      <c r="U18" s="20"/>
      <c r="V18" s="20"/>
      <c r="W18" s="20"/>
      <c r="X18" s="20"/>
      <c r="Y18" s="20"/>
      <c r="Z18" s="20"/>
    </row>
    <row r="19">
      <c r="A19" s="1" t="s">
        <v>74</v>
      </c>
      <c r="B19" s="1" t="s">
        <v>75</v>
      </c>
      <c r="C19" s="1" t="s">
        <v>53</v>
      </c>
      <c r="D19" s="3" t="s">
        <v>76</v>
      </c>
      <c r="E19" s="1" t="s">
        <v>77</v>
      </c>
      <c r="F19" s="1" t="s">
        <v>78</v>
      </c>
      <c r="G19" s="1" t="s">
        <v>79</v>
      </c>
      <c r="H19" s="1" t="s">
        <v>66</v>
      </c>
      <c r="I19" s="6" t="s">
        <v>80</v>
      </c>
    </row>
    <row r="20">
      <c r="A20" s="1" t="s">
        <v>81</v>
      </c>
      <c r="B20" s="1" t="s">
        <v>82</v>
      </c>
      <c r="C20" s="1" t="s">
        <v>53</v>
      </c>
      <c r="D20" s="1" t="s">
        <v>83</v>
      </c>
      <c r="E20" s="1" t="s">
        <v>84</v>
      </c>
      <c r="F20" s="1" t="s">
        <v>85</v>
      </c>
      <c r="G20" s="1" t="s">
        <v>86</v>
      </c>
      <c r="H20" s="1" t="s">
        <v>43</v>
      </c>
      <c r="I20" s="6" t="s">
        <v>87</v>
      </c>
    </row>
    <row r="21">
      <c r="A21" s="24"/>
      <c r="B21" s="24"/>
      <c r="C21" s="24"/>
      <c r="D21" s="24"/>
      <c r="E21" s="25"/>
      <c r="F21" s="24"/>
      <c r="G21" s="24"/>
      <c r="H21" s="26"/>
      <c r="I21" s="27"/>
      <c r="J21" s="28"/>
      <c r="K21" s="28"/>
      <c r="L21" s="28"/>
      <c r="M21" s="28"/>
      <c r="N21" s="28"/>
      <c r="O21" s="28"/>
      <c r="P21" s="28"/>
      <c r="Q21" s="28"/>
      <c r="R21" s="28"/>
      <c r="S21" s="28"/>
      <c r="T21" s="28"/>
      <c r="U21" s="28"/>
      <c r="V21" s="28"/>
      <c r="W21" s="28"/>
      <c r="X21" s="28"/>
      <c r="Y21" s="28"/>
      <c r="Z21" s="28"/>
    </row>
    <row r="22">
      <c r="A22" s="24"/>
      <c r="B22" s="24"/>
      <c r="C22" s="24"/>
      <c r="D22" s="24"/>
      <c r="E22" s="25"/>
      <c r="F22" s="24"/>
      <c r="G22" s="24"/>
      <c r="H22" s="26"/>
      <c r="I22" s="27"/>
      <c r="J22" s="28"/>
      <c r="K22" s="28"/>
      <c r="L22" s="28"/>
      <c r="M22" s="28"/>
      <c r="N22" s="28"/>
      <c r="O22" s="28"/>
      <c r="P22" s="28"/>
      <c r="Q22" s="28"/>
      <c r="R22" s="28"/>
      <c r="S22" s="28"/>
      <c r="T22" s="28"/>
      <c r="U22" s="28"/>
      <c r="V22" s="28"/>
      <c r="W22" s="28"/>
      <c r="X22" s="28"/>
      <c r="Y22" s="28"/>
      <c r="Z22" s="28"/>
    </row>
    <row r="23">
      <c r="A23" s="2"/>
      <c r="B23" s="2"/>
      <c r="D23" s="2"/>
      <c r="E23" s="2"/>
      <c r="F23" s="2"/>
      <c r="I23" s="23"/>
    </row>
    <row r="24">
      <c r="A24" s="2"/>
      <c r="B24" s="2"/>
      <c r="D24" s="2"/>
      <c r="E24" s="2"/>
      <c r="F24" s="2"/>
      <c r="I24" s="23"/>
    </row>
    <row r="25">
      <c r="A25" s="2"/>
      <c r="B25" s="2"/>
      <c r="D25" s="2"/>
      <c r="E25" s="2"/>
      <c r="F25" s="2"/>
      <c r="I25" s="23"/>
    </row>
    <row r="26">
      <c r="A26" s="2"/>
      <c r="B26" s="2"/>
      <c r="D26" s="2"/>
      <c r="E26" s="2"/>
      <c r="F26" s="2"/>
      <c r="I26" s="23"/>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row r="117">
      <c r="A117" s="2"/>
      <c r="B117" s="2"/>
      <c r="D117" s="2"/>
      <c r="E117" s="2"/>
      <c r="F117" s="2"/>
      <c r="I117" s="23"/>
    </row>
    <row r="118">
      <c r="A118" s="2"/>
      <c r="B118" s="2"/>
      <c r="D118" s="2"/>
      <c r="E118" s="2"/>
      <c r="F118" s="2"/>
      <c r="I118" s="23"/>
    </row>
  </sheetData>
  <autoFilter ref="$D$1:$D$118"/>
  <hyperlinks>
    <hyperlink r:id="rId1" ref="A2"/>
    <hyperlink r:id="rId2" ref="I2"/>
    <hyperlink r:id="rId3" ref="A7"/>
    <hyperlink r:id="rId4" ref="I7"/>
    <hyperlink r:id="rId5" ref="A8"/>
    <hyperlink r:id="rId6" ref="I8"/>
    <hyperlink r:id="rId7" ref="I9"/>
    <hyperlink r:id="rId8" ref="I10"/>
    <hyperlink r:id="rId9" ref="I11"/>
    <hyperlink r:id="rId10" ref="I13"/>
    <hyperlink r:id="rId11" ref="I16"/>
    <hyperlink r:id="rId12" ref="I19"/>
    <hyperlink r:id="rId13" ref="I20"/>
  </hyperlinks>
  <drawing r:id="rId1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7" t="s">
        <v>135</v>
      </c>
      <c r="B2" s="1" t="s">
        <v>136</v>
      </c>
      <c r="C2" s="1" t="s">
        <v>14</v>
      </c>
      <c r="D2" s="1" t="s">
        <v>137</v>
      </c>
      <c r="E2" s="1" t="s">
        <v>138</v>
      </c>
      <c r="G2" s="1" t="s">
        <v>139</v>
      </c>
      <c r="H2" s="1" t="s">
        <v>19</v>
      </c>
      <c r="I2" s="6" t="s">
        <v>140</v>
      </c>
    </row>
    <row r="3" ht="97.5" hidden="1" customHeight="1"/>
    <row r="4" ht="63.75" hidden="1" customHeight="1"/>
    <row r="5" ht="97.5" hidden="1" customHeight="1"/>
    <row r="6" ht="77.25" hidden="1" customHeight="1"/>
    <row r="7" ht="48.75" customHeight="1">
      <c r="A7" s="7" t="s">
        <v>141</v>
      </c>
      <c r="B7" s="1" t="s">
        <v>142</v>
      </c>
      <c r="C7" s="1" t="s">
        <v>14</v>
      </c>
      <c r="D7" s="1" t="s">
        <v>137</v>
      </c>
      <c r="E7" s="1" t="s">
        <v>143</v>
      </c>
      <c r="G7" s="1" t="s">
        <v>144</v>
      </c>
      <c r="H7" s="1" t="s">
        <v>19</v>
      </c>
      <c r="I7" s="6" t="s">
        <v>145</v>
      </c>
    </row>
    <row r="8" ht="68.25" customHeight="1">
      <c r="A8" s="1" t="s">
        <v>146</v>
      </c>
      <c r="B8" s="1" t="s">
        <v>139</v>
      </c>
      <c r="C8" s="1" t="s">
        <v>14</v>
      </c>
      <c r="D8" s="1" t="s">
        <v>137</v>
      </c>
      <c r="E8" s="1" t="s">
        <v>147</v>
      </c>
      <c r="F8" s="1" t="s">
        <v>148</v>
      </c>
      <c r="G8" s="1" t="s">
        <v>149</v>
      </c>
      <c r="H8" s="1" t="s">
        <v>19</v>
      </c>
      <c r="I8" s="6" t="s">
        <v>150</v>
      </c>
    </row>
    <row r="9" ht="73.5" customHeight="1">
      <c r="A9" s="1" t="s">
        <v>151</v>
      </c>
      <c r="B9" s="1" t="s">
        <v>152</v>
      </c>
      <c r="C9" s="1" t="s">
        <v>14</v>
      </c>
      <c r="D9" s="1" t="s">
        <v>137</v>
      </c>
      <c r="E9" s="1" t="s">
        <v>153</v>
      </c>
      <c r="F9" s="1" t="s">
        <v>154</v>
      </c>
      <c r="G9" s="1" t="s">
        <v>155</v>
      </c>
      <c r="H9" s="1" t="s">
        <v>19</v>
      </c>
      <c r="I9" s="6" t="s">
        <v>156</v>
      </c>
    </row>
    <row r="10" ht="78.0" hidden="1" customHeight="1">
      <c r="A10" s="17"/>
      <c r="B10" s="17"/>
      <c r="C10" s="18"/>
      <c r="D10" s="17"/>
      <c r="E10" s="17"/>
      <c r="F10" s="17"/>
      <c r="G10" s="18"/>
      <c r="H10" s="18"/>
      <c r="I10" s="19"/>
      <c r="J10" s="20"/>
      <c r="K10" s="20"/>
      <c r="L10" s="20"/>
      <c r="M10" s="20"/>
      <c r="N10" s="20"/>
      <c r="O10" s="20"/>
      <c r="P10" s="20"/>
      <c r="Q10" s="20"/>
      <c r="R10" s="20"/>
      <c r="S10" s="20"/>
      <c r="T10" s="20"/>
      <c r="U10" s="20"/>
      <c r="V10" s="20"/>
      <c r="W10" s="20"/>
      <c r="X10" s="20"/>
      <c r="Y10" s="20"/>
      <c r="Z10" s="20"/>
    </row>
    <row r="11" ht="73.5" hidden="1" customHeight="1">
      <c r="A11" s="17"/>
      <c r="B11" s="17"/>
      <c r="C11" s="18"/>
      <c r="D11" s="17"/>
      <c r="E11" s="17"/>
      <c r="F11" s="21"/>
      <c r="G11" s="18"/>
      <c r="H11" s="18"/>
      <c r="I11" s="19"/>
      <c r="J11" s="20"/>
      <c r="K11" s="20"/>
      <c r="L11" s="20"/>
      <c r="M11" s="20"/>
      <c r="N11" s="20"/>
      <c r="O11" s="20"/>
      <c r="P11" s="20"/>
      <c r="Q11" s="20"/>
      <c r="R11" s="20"/>
      <c r="S11" s="20"/>
      <c r="T11" s="20"/>
      <c r="U11" s="20"/>
      <c r="V11" s="20"/>
      <c r="W11" s="20"/>
      <c r="X11" s="20"/>
      <c r="Y11" s="20"/>
      <c r="Z11" s="20"/>
    </row>
    <row r="12" ht="70.5" customHeight="1">
      <c r="A12" s="1" t="s">
        <v>157</v>
      </c>
      <c r="B12" s="1" t="s">
        <v>158</v>
      </c>
      <c r="C12" s="1" t="s">
        <v>14</v>
      </c>
      <c r="D12" s="1" t="s">
        <v>137</v>
      </c>
      <c r="E12" s="1" t="s">
        <v>159</v>
      </c>
      <c r="G12" s="1" t="s">
        <v>18</v>
      </c>
      <c r="H12" s="1" t="s">
        <v>19</v>
      </c>
      <c r="I12" s="6" t="s">
        <v>160</v>
      </c>
    </row>
    <row r="13" ht="97.5" hidden="1" customHeight="1">
      <c r="A13" s="17"/>
      <c r="B13" s="17"/>
      <c r="C13" s="18"/>
      <c r="D13" s="17"/>
      <c r="E13" s="17"/>
      <c r="F13" s="17"/>
      <c r="G13" s="18"/>
      <c r="H13" s="18"/>
      <c r="I13" s="19"/>
      <c r="J13" s="20"/>
      <c r="K13" s="20"/>
      <c r="L13" s="20"/>
      <c r="M13" s="20"/>
      <c r="N13" s="20"/>
      <c r="O13" s="20"/>
      <c r="P13" s="20"/>
      <c r="Q13" s="20"/>
      <c r="R13" s="20"/>
      <c r="S13" s="20"/>
      <c r="T13" s="20"/>
      <c r="U13" s="20"/>
      <c r="V13" s="20"/>
      <c r="W13" s="20"/>
      <c r="X13" s="20"/>
      <c r="Y13" s="20"/>
      <c r="Z13" s="20"/>
    </row>
    <row r="14" ht="71.2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0.5" customHeight="1">
      <c r="A15" s="1" t="s">
        <v>161</v>
      </c>
      <c r="B15" s="1" t="s">
        <v>162</v>
      </c>
      <c r="C15" s="1" t="s">
        <v>33</v>
      </c>
      <c r="D15" s="1" t="s">
        <v>137</v>
      </c>
      <c r="E15" s="1" t="s">
        <v>163</v>
      </c>
      <c r="F15" s="1" t="s">
        <v>164</v>
      </c>
      <c r="G15" s="1" t="s">
        <v>165</v>
      </c>
      <c r="H15" s="1" t="s">
        <v>66</v>
      </c>
      <c r="I15" s="6" t="s">
        <v>166</v>
      </c>
    </row>
    <row r="16" ht="51.0" hidden="1" customHeight="1">
      <c r="A16" s="17"/>
      <c r="B16" s="17"/>
      <c r="C16" s="18"/>
      <c r="D16" s="17"/>
      <c r="E16" s="17"/>
      <c r="F16" s="17"/>
      <c r="G16" s="18"/>
      <c r="H16" s="18"/>
      <c r="I16" s="19"/>
      <c r="J16" s="20"/>
      <c r="K16" s="20"/>
      <c r="L16" s="20"/>
      <c r="M16" s="20"/>
      <c r="N16" s="20"/>
      <c r="O16" s="20"/>
      <c r="P16" s="20"/>
      <c r="Q16" s="20"/>
      <c r="R16" s="20"/>
      <c r="S16" s="20"/>
      <c r="T16" s="20"/>
      <c r="U16" s="20"/>
      <c r="V16" s="20"/>
      <c r="W16" s="20"/>
      <c r="X16" s="20"/>
      <c r="Y16" s="20"/>
      <c r="Z16" s="20"/>
    </row>
    <row r="17" ht="47.25"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c r="A18" s="1" t="s">
        <v>167</v>
      </c>
      <c r="B18" s="1" t="s">
        <v>168</v>
      </c>
      <c r="C18" s="1" t="s">
        <v>53</v>
      </c>
      <c r="D18" s="1" t="s">
        <v>137</v>
      </c>
      <c r="E18" s="1" t="s">
        <v>169</v>
      </c>
      <c r="G18" s="1" t="s">
        <v>170</v>
      </c>
      <c r="H18" s="1" t="s">
        <v>19</v>
      </c>
      <c r="I18" s="6" t="s">
        <v>171</v>
      </c>
    </row>
    <row r="19">
      <c r="A19" s="1" t="s">
        <v>172</v>
      </c>
      <c r="B19" s="1" t="s">
        <v>173</v>
      </c>
      <c r="C19" s="1" t="s">
        <v>53</v>
      </c>
      <c r="D19" s="1" t="s">
        <v>137</v>
      </c>
      <c r="E19" s="1" t="s">
        <v>174</v>
      </c>
      <c r="G19" s="1" t="s">
        <v>170</v>
      </c>
      <c r="H19" s="1" t="s">
        <v>19</v>
      </c>
      <c r="I19" s="6" t="s">
        <v>175</v>
      </c>
    </row>
    <row r="20">
      <c r="A20" s="7" t="s">
        <v>176</v>
      </c>
      <c r="B20" s="1" t="s">
        <v>177</v>
      </c>
      <c r="C20" s="1" t="s">
        <v>53</v>
      </c>
      <c r="D20" s="1" t="s">
        <v>137</v>
      </c>
      <c r="E20" s="1" t="s">
        <v>178</v>
      </c>
      <c r="F20" s="1" t="s">
        <v>179</v>
      </c>
      <c r="G20" s="1" t="s">
        <v>155</v>
      </c>
      <c r="H20" s="1" t="s">
        <v>19</v>
      </c>
      <c r="I20" s="6" t="s">
        <v>180</v>
      </c>
    </row>
    <row r="21">
      <c r="A21" s="1" t="s">
        <v>181</v>
      </c>
      <c r="B21" s="1" t="s">
        <v>182</v>
      </c>
      <c r="C21" s="1" t="s">
        <v>53</v>
      </c>
      <c r="D21" s="1" t="s">
        <v>137</v>
      </c>
      <c r="E21" s="1" t="s">
        <v>183</v>
      </c>
      <c r="F21" s="1" t="s">
        <v>184</v>
      </c>
      <c r="G21" s="1" t="s">
        <v>185</v>
      </c>
      <c r="H21" s="1" t="s">
        <v>60</v>
      </c>
      <c r="I21" s="6" t="s">
        <v>186</v>
      </c>
    </row>
    <row r="22">
      <c r="A22" s="1" t="s">
        <v>187</v>
      </c>
      <c r="B22" s="1" t="s">
        <v>188</v>
      </c>
      <c r="C22" s="1" t="s">
        <v>53</v>
      </c>
      <c r="D22" s="3" t="s">
        <v>137</v>
      </c>
      <c r="E22" s="1" t="s">
        <v>189</v>
      </c>
      <c r="G22" s="1" t="s">
        <v>18</v>
      </c>
      <c r="H22" s="1" t="s">
        <v>66</v>
      </c>
      <c r="I22" s="6" t="s">
        <v>190</v>
      </c>
    </row>
    <row r="23">
      <c r="A23" s="1" t="s">
        <v>81</v>
      </c>
      <c r="B23" s="1" t="s">
        <v>82</v>
      </c>
      <c r="C23" s="1" t="s">
        <v>53</v>
      </c>
      <c r="D23" s="1" t="s">
        <v>83</v>
      </c>
      <c r="E23" s="1" t="s">
        <v>84</v>
      </c>
      <c r="F23" s="1" t="s">
        <v>85</v>
      </c>
      <c r="G23" s="1" t="s">
        <v>86</v>
      </c>
      <c r="H23" s="1" t="s">
        <v>43</v>
      </c>
      <c r="I23" s="6" t="s">
        <v>87</v>
      </c>
    </row>
    <row r="24">
      <c r="A24" s="2"/>
      <c r="B24" s="2"/>
      <c r="D24" s="2"/>
      <c r="E24" s="2"/>
      <c r="F24" s="2"/>
      <c r="I24" s="23"/>
    </row>
    <row r="25">
      <c r="A25" s="2"/>
      <c r="B25" s="2"/>
      <c r="D25" s="2"/>
      <c r="E25" s="2"/>
      <c r="F25" s="2"/>
      <c r="I25" s="23"/>
    </row>
    <row r="26">
      <c r="A26" s="2"/>
      <c r="B26" s="2"/>
      <c r="D26" s="2"/>
      <c r="E26" s="2"/>
      <c r="F26" s="2"/>
      <c r="I26" s="23"/>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sheetData>
  <autoFilter ref="$D$1:$D$116"/>
  <hyperlinks>
    <hyperlink r:id="rId1" ref="A2"/>
    <hyperlink r:id="rId2" ref="I2"/>
    <hyperlink r:id="rId3" ref="A7"/>
    <hyperlink r:id="rId4" ref="I7"/>
    <hyperlink r:id="rId5" ref="I8"/>
    <hyperlink r:id="rId6" ref="I9"/>
    <hyperlink r:id="rId7" ref="I12"/>
    <hyperlink r:id="rId8" ref="I15"/>
    <hyperlink r:id="rId9" ref="I18"/>
    <hyperlink r:id="rId10" ref="I19"/>
    <hyperlink r:id="rId11" location="d1e143" ref="A20"/>
    <hyperlink r:id="rId12" ref="I20"/>
    <hyperlink r:id="rId13" ref="I21"/>
    <hyperlink r:id="rId14" ref="I22"/>
    <hyperlink r:id="rId15" ref="I23"/>
  </hyperlinks>
  <drawing r:id="rId1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c r="A2" s="1" t="s">
        <v>191</v>
      </c>
      <c r="B2" s="1" t="s">
        <v>192</v>
      </c>
      <c r="C2" s="1" t="s">
        <v>14</v>
      </c>
      <c r="D2" s="1" t="s">
        <v>193</v>
      </c>
      <c r="E2" s="1" t="s">
        <v>194</v>
      </c>
      <c r="F2" s="1" t="s">
        <v>195</v>
      </c>
      <c r="G2" s="1" t="s">
        <v>18</v>
      </c>
      <c r="H2" s="1" t="s">
        <v>60</v>
      </c>
      <c r="I2" s="6" t="s">
        <v>196</v>
      </c>
    </row>
    <row r="3">
      <c r="A3" s="1" t="s">
        <v>197</v>
      </c>
      <c r="B3" s="1" t="s">
        <v>198</v>
      </c>
      <c r="C3" s="1" t="s">
        <v>14</v>
      </c>
      <c r="D3" s="1" t="s">
        <v>199</v>
      </c>
      <c r="E3" s="1" t="s">
        <v>200</v>
      </c>
      <c r="G3" s="1" t="s">
        <v>79</v>
      </c>
      <c r="H3" s="1" t="s">
        <v>66</v>
      </c>
      <c r="I3" s="6" t="s">
        <v>201</v>
      </c>
    </row>
    <row r="4">
      <c r="A4" s="1" t="s">
        <v>202</v>
      </c>
      <c r="B4" s="1" t="s">
        <v>203</v>
      </c>
      <c r="C4" s="1" t="s">
        <v>33</v>
      </c>
      <c r="D4" s="3" t="s">
        <v>204</v>
      </c>
      <c r="E4" s="1" t="s">
        <v>205</v>
      </c>
      <c r="F4" s="1" t="s">
        <v>206</v>
      </c>
      <c r="G4" s="1" t="s">
        <v>207</v>
      </c>
      <c r="H4" s="1" t="s">
        <v>19</v>
      </c>
      <c r="I4" s="6" t="s">
        <v>208</v>
      </c>
    </row>
    <row r="5">
      <c r="A5" s="1" t="s">
        <v>209</v>
      </c>
      <c r="B5" s="1" t="s">
        <v>210</v>
      </c>
      <c r="C5" s="1" t="s">
        <v>33</v>
      </c>
      <c r="D5" s="3" t="s">
        <v>211</v>
      </c>
      <c r="E5" s="1" t="s">
        <v>212</v>
      </c>
      <c r="F5" s="1" t="s">
        <v>213</v>
      </c>
      <c r="G5" s="1" t="s">
        <v>18</v>
      </c>
      <c r="H5" s="1" t="s">
        <v>60</v>
      </c>
      <c r="I5" s="6" t="s">
        <v>214</v>
      </c>
    </row>
    <row r="6">
      <c r="A6" s="1" t="s">
        <v>215</v>
      </c>
      <c r="B6" s="1" t="s">
        <v>216</v>
      </c>
      <c r="C6" s="1" t="s">
        <v>33</v>
      </c>
      <c r="D6" s="1" t="s">
        <v>199</v>
      </c>
      <c r="E6" s="1" t="s">
        <v>217</v>
      </c>
      <c r="F6" s="1" t="s">
        <v>218</v>
      </c>
      <c r="G6" s="1" t="s">
        <v>79</v>
      </c>
      <c r="H6" s="1" t="s">
        <v>66</v>
      </c>
      <c r="I6" s="6" t="s">
        <v>219</v>
      </c>
    </row>
    <row r="7">
      <c r="A7" s="1" t="s">
        <v>220</v>
      </c>
      <c r="B7" s="1" t="s">
        <v>221</v>
      </c>
      <c r="C7" s="1" t="s">
        <v>33</v>
      </c>
      <c r="D7" s="1" t="s">
        <v>199</v>
      </c>
      <c r="E7" s="1" t="s">
        <v>222</v>
      </c>
      <c r="F7" s="1" t="s">
        <v>223</v>
      </c>
      <c r="G7" s="1" t="s">
        <v>224</v>
      </c>
      <c r="H7" s="1" t="s">
        <v>43</v>
      </c>
      <c r="I7" s="6" t="s">
        <v>225</v>
      </c>
    </row>
    <row r="8">
      <c r="A8" s="1" t="s">
        <v>226</v>
      </c>
      <c r="B8" s="1" t="s">
        <v>227</v>
      </c>
      <c r="C8" s="1" t="s">
        <v>53</v>
      </c>
      <c r="D8" s="3" t="s">
        <v>211</v>
      </c>
      <c r="E8" s="1" t="s">
        <v>228</v>
      </c>
      <c r="F8" s="1" t="s">
        <v>229</v>
      </c>
      <c r="G8" s="1" t="s">
        <v>207</v>
      </c>
      <c r="H8" s="1" t="s">
        <v>19</v>
      </c>
      <c r="I8" s="6" t="s">
        <v>230</v>
      </c>
    </row>
    <row r="9">
      <c r="A9" s="1" t="s">
        <v>231</v>
      </c>
      <c r="B9" s="1" t="s">
        <v>232</v>
      </c>
      <c r="C9" s="1" t="s">
        <v>53</v>
      </c>
      <c r="D9" s="1" t="s">
        <v>193</v>
      </c>
      <c r="E9" s="1" t="s">
        <v>233</v>
      </c>
      <c r="F9" s="1" t="s">
        <v>234</v>
      </c>
      <c r="G9" s="1" t="s">
        <v>18</v>
      </c>
      <c r="H9" s="1" t="s">
        <v>60</v>
      </c>
      <c r="I9" s="6" t="s">
        <v>235</v>
      </c>
    </row>
    <row r="10">
      <c r="A10" s="1" t="s">
        <v>236</v>
      </c>
      <c r="B10" s="1" t="s">
        <v>237</v>
      </c>
      <c r="C10" s="1" t="s">
        <v>53</v>
      </c>
      <c r="D10" s="1" t="s">
        <v>199</v>
      </c>
      <c r="E10" s="1" t="s">
        <v>238</v>
      </c>
      <c r="G10" s="1" t="s">
        <v>79</v>
      </c>
      <c r="H10" s="1" t="s">
        <v>66</v>
      </c>
      <c r="I10" s="6" t="s">
        <v>239</v>
      </c>
    </row>
    <row r="11">
      <c r="A11" s="1" t="s">
        <v>240</v>
      </c>
      <c r="B11" s="1" t="s">
        <v>241</v>
      </c>
      <c r="C11" s="1" t="s">
        <v>53</v>
      </c>
      <c r="D11" s="1" t="s">
        <v>199</v>
      </c>
      <c r="E11" s="1" t="s">
        <v>242</v>
      </c>
      <c r="G11" s="1" t="s">
        <v>79</v>
      </c>
      <c r="H11" s="1" t="s">
        <v>66</v>
      </c>
      <c r="I11" s="6" t="s">
        <v>243</v>
      </c>
    </row>
  </sheetData>
  <hyperlinks>
    <hyperlink r:id="rId1" ref="I2"/>
    <hyperlink r:id="rId2" ref="I3"/>
    <hyperlink r:id="rId3" ref="I4"/>
    <hyperlink r:id="rId4" ref="I5"/>
    <hyperlink r:id="rId5" ref="I6"/>
    <hyperlink r:id="rId6" ref="I7"/>
    <hyperlink r:id="rId7" ref="I8"/>
    <hyperlink r:id="rId8" ref="I9"/>
    <hyperlink r:id="rId9" ref="I10"/>
    <hyperlink r:id="rId10" ref="I11"/>
  </hyperlinks>
  <drawing r:id="rId1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7" t="s">
        <v>244</v>
      </c>
      <c r="B2" s="1" t="s">
        <v>245</v>
      </c>
      <c r="C2" s="1" t="s">
        <v>14</v>
      </c>
      <c r="D2" s="1" t="s">
        <v>246</v>
      </c>
      <c r="E2" s="1" t="s">
        <v>247</v>
      </c>
      <c r="G2" s="1" t="s">
        <v>79</v>
      </c>
      <c r="H2" s="1" t="s">
        <v>19</v>
      </c>
      <c r="I2" s="6" t="s">
        <v>248</v>
      </c>
    </row>
    <row r="3" ht="97.5" hidden="1" customHeight="1">
      <c r="A3" s="1" t="s">
        <v>249</v>
      </c>
      <c r="B3" s="1" t="s">
        <v>250</v>
      </c>
      <c r="C3" s="1" t="s">
        <v>53</v>
      </c>
      <c r="D3" s="1" t="s">
        <v>246</v>
      </c>
      <c r="E3" s="1" t="s">
        <v>251</v>
      </c>
      <c r="G3" s="1" t="s">
        <v>79</v>
      </c>
      <c r="H3" s="1" t="s">
        <v>19</v>
      </c>
      <c r="I3" s="6" t="s">
        <v>252</v>
      </c>
    </row>
    <row r="4" ht="63.75" hidden="1" customHeight="1">
      <c r="A4" s="1" t="s">
        <v>253</v>
      </c>
      <c r="B4" s="1" t="s">
        <v>254</v>
      </c>
      <c r="C4" s="1" t="s">
        <v>53</v>
      </c>
      <c r="D4" s="1" t="s">
        <v>246</v>
      </c>
      <c r="E4" s="1" t="s">
        <v>255</v>
      </c>
      <c r="F4" s="1" t="s">
        <v>256</v>
      </c>
      <c r="G4" s="1" t="s">
        <v>79</v>
      </c>
      <c r="H4" s="1" t="s">
        <v>19</v>
      </c>
      <c r="I4" s="6" t="s">
        <v>257</v>
      </c>
    </row>
    <row r="5" ht="97.5" hidden="1" customHeight="1">
      <c r="A5" s="1" t="s">
        <v>258</v>
      </c>
      <c r="B5" s="1" t="s">
        <v>259</v>
      </c>
      <c r="C5" s="1" t="s">
        <v>53</v>
      </c>
      <c r="D5" s="1" t="s">
        <v>246</v>
      </c>
      <c r="E5" s="1" t="s">
        <v>260</v>
      </c>
      <c r="G5" s="1" t="s">
        <v>79</v>
      </c>
      <c r="H5" s="1" t="s">
        <v>19</v>
      </c>
      <c r="I5" s="6" t="s">
        <v>261</v>
      </c>
    </row>
    <row r="6" ht="77.25" hidden="1" customHeight="1">
      <c r="A6" s="1" t="s">
        <v>262</v>
      </c>
      <c r="B6" s="1" t="s">
        <v>263</v>
      </c>
      <c r="C6" s="1" t="s">
        <v>53</v>
      </c>
      <c r="D6" s="1" t="s">
        <v>246</v>
      </c>
      <c r="E6" s="1" t="s">
        <v>264</v>
      </c>
      <c r="G6" s="1" t="s">
        <v>79</v>
      </c>
      <c r="H6" s="1" t="s">
        <v>19</v>
      </c>
      <c r="I6" s="6" t="s">
        <v>265</v>
      </c>
    </row>
    <row r="7" ht="48.75" customHeight="1">
      <c r="A7" s="7" t="s">
        <v>266</v>
      </c>
      <c r="B7" s="1" t="s">
        <v>267</v>
      </c>
      <c r="C7" s="1" t="s">
        <v>14</v>
      </c>
      <c r="D7" s="1" t="s">
        <v>246</v>
      </c>
      <c r="E7" s="1" t="s">
        <v>268</v>
      </c>
      <c r="G7" s="1" t="s">
        <v>79</v>
      </c>
      <c r="H7" s="1" t="s">
        <v>19</v>
      </c>
      <c r="I7" s="6" t="s">
        <v>269</v>
      </c>
    </row>
    <row r="8" ht="68.25" customHeight="1">
      <c r="A8" s="7" t="s">
        <v>270</v>
      </c>
      <c r="B8" s="1" t="s">
        <v>271</v>
      </c>
      <c r="C8" s="1" t="s">
        <v>14</v>
      </c>
      <c r="D8" s="1" t="s">
        <v>272</v>
      </c>
      <c r="E8" s="1" t="s">
        <v>273</v>
      </c>
      <c r="G8" s="1" t="s">
        <v>79</v>
      </c>
      <c r="H8" s="1" t="s">
        <v>19</v>
      </c>
      <c r="I8" s="6" t="s">
        <v>274</v>
      </c>
    </row>
    <row r="9" ht="73.5" customHeight="1">
      <c r="A9" s="1" t="s">
        <v>275</v>
      </c>
      <c r="B9" s="1" t="s">
        <v>276</v>
      </c>
      <c r="C9" s="1" t="s">
        <v>14</v>
      </c>
      <c r="D9" s="1" t="s">
        <v>277</v>
      </c>
      <c r="E9" s="1" t="s">
        <v>278</v>
      </c>
      <c r="F9" s="1" t="s">
        <v>279</v>
      </c>
      <c r="G9" s="1" t="s">
        <v>280</v>
      </c>
      <c r="H9" s="1" t="s">
        <v>66</v>
      </c>
      <c r="I9" s="6" t="s">
        <v>281</v>
      </c>
    </row>
    <row r="10" ht="97.5" customHeight="1">
      <c r="A10" s="1" t="s">
        <v>282</v>
      </c>
      <c r="B10" s="1" t="s">
        <v>283</v>
      </c>
      <c r="C10" s="1" t="s">
        <v>14</v>
      </c>
      <c r="D10" s="1" t="s">
        <v>284</v>
      </c>
      <c r="E10" s="1" t="s">
        <v>285</v>
      </c>
      <c r="F10" s="1" t="s">
        <v>286</v>
      </c>
      <c r="G10" s="1" t="s">
        <v>287</v>
      </c>
      <c r="H10" s="1" t="s">
        <v>66</v>
      </c>
      <c r="I10" s="6" t="s">
        <v>288</v>
      </c>
    </row>
    <row r="11" ht="78.0" hidden="1" customHeight="1">
      <c r="A11" s="17"/>
      <c r="B11" s="17"/>
      <c r="C11" s="18"/>
      <c r="D11" s="17"/>
      <c r="E11" s="17"/>
      <c r="F11" s="17"/>
      <c r="G11" s="18"/>
      <c r="H11" s="18"/>
      <c r="I11" s="19"/>
      <c r="J11" s="20"/>
      <c r="K11" s="20"/>
      <c r="L11" s="20"/>
      <c r="M11" s="20"/>
      <c r="N11" s="20"/>
      <c r="O11" s="20"/>
      <c r="P11" s="20"/>
      <c r="Q11" s="20"/>
      <c r="R11" s="20"/>
      <c r="S11" s="20"/>
      <c r="T11" s="20"/>
      <c r="U11" s="20"/>
      <c r="V11" s="20"/>
      <c r="W11" s="20"/>
      <c r="X11" s="20"/>
      <c r="Y11" s="20"/>
      <c r="Z11" s="20"/>
    </row>
    <row r="12" ht="73.5" hidden="1" customHeight="1">
      <c r="A12" s="17"/>
      <c r="B12" s="17"/>
      <c r="C12" s="18"/>
      <c r="D12" s="17"/>
      <c r="E12" s="17"/>
      <c r="F12" s="21"/>
      <c r="G12" s="18"/>
      <c r="H12" s="18"/>
      <c r="I12" s="19"/>
      <c r="J12" s="20"/>
      <c r="K12" s="20"/>
      <c r="L12" s="20"/>
      <c r="M12" s="20"/>
      <c r="N12" s="20"/>
      <c r="O12" s="20"/>
      <c r="P12" s="20"/>
      <c r="Q12" s="20"/>
      <c r="R12" s="20"/>
      <c r="S12" s="20"/>
      <c r="T12" s="20"/>
      <c r="U12" s="20"/>
      <c r="V12" s="20"/>
      <c r="W12" s="20"/>
      <c r="X12" s="20"/>
      <c r="Y12" s="20"/>
      <c r="Z12" s="20"/>
    </row>
    <row r="13" ht="97.5" hidden="1" customHeight="1">
      <c r="A13" s="17"/>
      <c r="B13" s="17"/>
      <c r="C13" s="18"/>
      <c r="D13" s="17"/>
      <c r="E13" s="17"/>
      <c r="F13" s="17"/>
      <c r="G13" s="18"/>
      <c r="H13" s="18"/>
      <c r="I13" s="19"/>
      <c r="J13" s="20"/>
      <c r="K13" s="20"/>
      <c r="L13" s="20"/>
      <c r="M13" s="20"/>
      <c r="N13" s="20"/>
      <c r="O13" s="20"/>
      <c r="P13" s="20"/>
      <c r="Q13" s="20"/>
      <c r="R13" s="20"/>
      <c r="S13" s="20"/>
      <c r="T13" s="20"/>
      <c r="U13" s="20"/>
      <c r="V13" s="20"/>
      <c r="W13" s="20"/>
      <c r="X13" s="20"/>
      <c r="Y13" s="20"/>
      <c r="Z13" s="20"/>
    </row>
    <row r="14" ht="71.2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0.5" customHeight="1">
      <c r="A15" s="1" t="s">
        <v>289</v>
      </c>
      <c r="B15" s="1" t="s">
        <v>290</v>
      </c>
      <c r="C15" s="1" t="s">
        <v>14</v>
      </c>
      <c r="D15" s="1" t="s">
        <v>291</v>
      </c>
      <c r="E15" s="1" t="s">
        <v>292</v>
      </c>
      <c r="F15" s="1" t="s">
        <v>293</v>
      </c>
      <c r="G15" s="1" t="s">
        <v>280</v>
      </c>
      <c r="H15" s="1" t="s">
        <v>43</v>
      </c>
      <c r="I15" s="6" t="s">
        <v>294</v>
      </c>
    </row>
    <row r="16" ht="51.0" hidden="1" customHeight="1">
      <c r="A16" s="17"/>
      <c r="B16" s="17"/>
      <c r="C16" s="18"/>
      <c r="D16" s="17"/>
      <c r="E16" s="17"/>
      <c r="F16" s="17"/>
      <c r="G16" s="18"/>
      <c r="H16" s="18"/>
      <c r="I16" s="19"/>
      <c r="J16" s="20"/>
      <c r="K16" s="20"/>
      <c r="L16" s="20"/>
      <c r="M16" s="20"/>
      <c r="N16" s="20"/>
      <c r="O16" s="20"/>
      <c r="P16" s="20"/>
      <c r="Q16" s="20"/>
      <c r="R16" s="20"/>
      <c r="S16" s="20"/>
      <c r="T16" s="20"/>
      <c r="U16" s="20"/>
      <c r="V16" s="20"/>
      <c r="W16" s="20"/>
      <c r="X16" s="20"/>
      <c r="Y16" s="20"/>
      <c r="Z16" s="20"/>
    </row>
    <row r="17" ht="47.25"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c r="A18" s="1" t="s">
        <v>295</v>
      </c>
      <c r="B18" s="1" t="s">
        <v>296</v>
      </c>
      <c r="C18" s="1" t="s">
        <v>14</v>
      </c>
      <c r="D18" s="1" t="s">
        <v>291</v>
      </c>
      <c r="E18" s="1" t="s">
        <v>297</v>
      </c>
      <c r="F18" s="1" t="s">
        <v>298</v>
      </c>
      <c r="G18" s="1" t="s">
        <v>18</v>
      </c>
      <c r="H18" s="1" t="s">
        <v>43</v>
      </c>
      <c r="I18" s="6" t="s">
        <v>299</v>
      </c>
    </row>
    <row r="19">
      <c r="A19" s="1" t="s">
        <v>300</v>
      </c>
      <c r="B19" s="1" t="s">
        <v>301</v>
      </c>
      <c r="C19" s="1" t="s">
        <v>33</v>
      </c>
      <c r="D19" s="1" t="s">
        <v>302</v>
      </c>
      <c r="E19" s="1" t="s">
        <v>303</v>
      </c>
      <c r="G19" s="1" t="s">
        <v>79</v>
      </c>
      <c r="H19" s="1" t="s">
        <v>66</v>
      </c>
      <c r="I19" s="6" t="s">
        <v>304</v>
      </c>
    </row>
    <row r="20">
      <c r="A20" s="1" t="s">
        <v>305</v>
      </c>
      <c r="B20" s="1" t="s">
        <v>306</v>
      </c>
      <c r="C20" s="1" t="s">
        <v>53</v>
      </c>
      <c r="D20" s="1" t="s">
        <v>246</v>
      </c>
      <c r="E20" s="1" t="s">
        <v>307</v>
      </c>
      <c r="F20" s="1" t="s">
        <v>308</v>
      </c>
      <c r="G20" s="1" t="s">
        <v>79</v>
      </c>
      <c r="H20" s="1" t="s">
        <v>19</v>
      </c>
      <c r="I20" s="6" t="s">
        <v>309</v>
      </c>
    </row>
    <row r="21">
      <c r="A21" s="1" t="s">
        <v>253</v>
      </c>
      <c r="B21" s="1" t="s">
        <v>254</v>
      </c>
      <c r="C21" s="1" t="s">
        <v>53</v>
      </c>
      <c r="D21" s="1" t="s">
        <v>246</v>
      </c>
      <c r="E21" s="1" t="s">
        <v>255</v>
      </c>
      <c r="F21" s="1" t="s">
        <v>256</v>
      </c>
      <c r="G21" s="1" t="s">
        <v>79</v>
      </c>
      <c r="H21" s="1" t="s">
        <v>19</v>
      </c>
      <c r="I21" s="6" t="s">
        <v>257</v>
      </c>
    </row>
    <row r="22">
      <c r="A22" s="1" t="s">
        <v>262</v>
      </c>
      <c r="B22" s="1" t="s">
        <v>263</v>
      </c>
      <c r="C22" s="1" t="s">
        <v>53</v>
      </c>
      <c r="D22" s="1" t="s">
        <v>246</v>
      </c>
      <c r="E22" s="1" t="s">
        <v>264</v>
      </c>
      <c r="G22" s="1" t="s">
        <v>79</v>
      </c>
      <c r="H22" s="1" t="s">
        <v>19</v>
      </c>
      <c r="I22" s="6" t="s">
        <v>265</v>
      </c>
    </row>
    <row r="23">
      <c r="A23" s="1" t="s">
        <v>249</v>
      </c>
      <c r="B23" s="1" t="s">
        <v>250</v>
      </c>
      <c r="C23" s="1" t="s">
        <v>53</v>
      </c>
      <c r="D23" s="1" t="s">
        <v>246</v>
      </c>
      <c r="E23" s="1" t="s">
        <v>251</v>
      </c>
      <c r="G23" s="1" t="s">
        <v>79</v>
      </c>
      <c r="H23" s="1" t="s">
        <v>19</v>
      </c>
      <c r="I23" s="6" t="s">
        <v>252</v>
      </c>
    </row>
    <row r="24">
      <c r="A24" s="1" t="s">
        <v>310</v>
      </c>
      <c r="B24" s="1" t="s">
        <v>311</v>
      </c>
      <c r="C24" s="1" t="s">
        <v>53</v>
      </c>
      <c r="D24" s="1" t="s">
        <v>312</v>
      </c>
      <c r="E24" s="1" t="s">
        <v>313</v>
      </c>
      <c r="F24" s="1" t="s">
        <v>314</v>
      </c>
      <c r="G24" s="1" t="s">
        <v>315</v>
      </c>
      <c r="H24" s="1" t="s">
        <v>60</v>
      </c>
      <c r="I24" s="6" t="s">
        <v>316</v>
      </c>
    </row>
    <row r="25">
      <c r="A25" s="1" t="s">
        <v>317</v>
      </c>
      <c r="B25" s="1" t="s">
        <v>318</v>
      </c>
      <c r="C25" s="1" t="s">
        <v>53</v>
      </c>
      <c r="D25" s="1" t="s">
        <v>246</v>
      </c>
      <c r="E25" s="1" t="s">
        <v>319</v>
      </c>
      <c r="F25" s="1" t="s">
        <v>320</v>
      </c>
      <c r="G25" s="1" t="s">
        <v>165</v>
      </c>
      <c r="H25" s="1" t="s">
        <v>66</v>
      </c>
      <c r="I25" s="6" t="s">
        <v>321</v>
      </c>
    </row>
    <row r="26">
      <c r="A26" s="1" t="s">
        <v>322</v>
      </c>
      <c r="B26" s="1" t="s">
        <v>323</v>
      </c>
      <c r="C26" s="1" t="s">
        <v>53</v>
      </c>
      <c r="D26" s="1" t="s">
        <v>284</v>
      </c>
      <c r="E26" s="1" t="s">
        <v>324</v>
      </c>
      <c r="F26" s="1" t="s">
        <v>325</v>
      </c>
      <c r="G26" s="1" t="s">
        <v>165</v>
      </c>
      <c r="H26" s="1" t="s">
        <v>66</v>
      </c>
      <c r="I26" s="6" t="s">
        <v>326</v>
      </c>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sheetData>
  <autoFilter ref="$D$1:$D$116"/>
  <hyperlinks>
    <hyperlink r:id="rId1" ref="A2"/>
    <hyperlink r:id="rId2" ref="I2"/>
    <hyperlink r:id="rId3" ref="I3"/>
    <hyperlink r:id="rId4" ref="I4"/>
    <hyperlink r:id="rId5" ref="I5"/>
    <hyperlink r:id="rId6" ref="I6"/>
    <hyperlink r:id="rId7" ref="A7"/>
    <hyperlink r:id="rId8" ref="I7"/>
    <hyperlink r:id="rId9" ref="A8"/>
    <hyperlink r:id="rId10" ref="I8"/>
    <hyperlink r:id="rId11" ref="I9"/>
    <hyperlink r:id="rId12" ref="I10"/>
    <hyperlink r:id="rId13" ref="I15"/>
    <hyperlink r:id="rId14" ref="I18"/>
    <hyperlink r:id="rId15" ref="I19"/>
    <hyperlink r:id="rId16" ref="I20"/>
    <hyperlink r:id="rId17" ref="I21"/>
    <hyperlink r:id="rId18" ref="I22"/>
    <hyperlink r:id="rId19" ref="I23"/>
    <hyperlink r:id="rId20" ref="I24"/>
    <hyperlink r:id="rId21" ref="I25"/>
    <hyperlink r:id="rId22" ref="I26"/>
  </hyperlinks>
  <drawing r:id="rId2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c r="A2" s="1" t="s">
        <v>327</v>
      </c>
      <c r="B2" s="1" t="s">
        <v>328</v>
      </c>
      <c r="C2" s="1" t="s">
        <v>14</v>
      </c>
      <c r="D2" s="1" t="s">
        <v>329</v>
      </c>
      <c r="E2" s="1" t="s">
        <v>330</v>
      </c>
      <c r="F2" s="1" t="s">
        <v>331</v>
      </c>
      <c r="G2" s="1" t="s">
        <v>332</v>
      </c>
      <c r="H2" s="1" t="s">
        <v>60</v>
      </c>
      <c r="I2" s="6" t="s">
        <v>333</v>
      </c>
    </row>
    <row r="3">
      <c r="A3" s="1" t="s">
        <v>334</v>
      </c>
      <c r="B3" s="1" t="s">
        <v>335</v>
      </c>
      <c r="C3" s="1" t="s">
        <v>33</v>
      </c>
      <c r="D3" s="1" t="s">
        <v>336</v>
      </c>
      <c r="E3" s="1" t="s">
        <v>337</v>
      </c>
      <c r="G3" s="1" t="s">
        <v>121</v>
      </c>
      <c r="H3" s="1" t="s">
        <v>60</v>
      </c>
      <c r="I3" s="6" t="s">
        <v>338</v>
      </c>
    </row>
    <row r="4">
      <c r="A4" s="1" t="s">
        <v>339</v>
      </c>
      <c r="B4" s="1" t="s">
        <v>340</v>
      </c>
      <c r="C4" s="1" t="s">
        <v>53</v>
      </c>
      <c r="D4" s="1" t="s">
        <v>341</v>
      </c>
      <c r="E4" s="1" t="s">
        <v>342</v>
      </c>
      <c r="F4" s="1" t="s">
        <v>343</v>
      </c>
      <c r="G4" s="1" t="s">
        <v>344</v>
      </c>
      <c r="H4" s="1" t="s">
        <v>60</v>
      </c>
      <c r="I4" s="6" t="s">
        <v>345</v>
      </c>
    </row>
  </sheetData>
  <hyperlinks>
    <hyperlink r:id="rId1" ref="I2"/>
    <hyperlink r:id="rId2" ref="I3"/>
    <hyperlink r:id="rId3" ref="I4"/>
  </hyperlinks>
  <drawing r:id="rId4"/>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40.38"/>
    <col customWidth="1" min="3" max="3" width="12.75"/>
    <col customWidth="1" min="4" max="4" width="18.88"/>
    <col customWidth="1" min="5" max="5" width="38.63"/>
    <col customWidth="1" min="6" max="6" width="28.75"/>
    <col customWidth="1" hidden="1" min="7" max="7" width="21.63"/>
    <col customWidth="1" min="8" max="8" width="8.88"/>
    <col customWidth="1" min="9" max="9" width="39.0"/>
    <col customWidth="1" min="10" max="26" width="18.88"/>
  </cols>
  <sheetData>
    <row r="1">
      <c r="A1" s="8" t="s">
        <v>3</v>
      </c>
      <c r="B1" s="8" t="s">
        <v>4</v>
      </c>
      <c r="C1" s="9" t="s">
        <v>5</v>
      </c>
      <c r="D1" s="10" t="s">
        <v>6</v>
      </c>
      <c r="E1" s="8" t="s">
        <v>7</v>
      </c>
      <c r="F1" s="9" t="s">
        <v>8</v>
      </c>
      <c r="G1" s="9" t="s">
        <v>9</v>
      </c>
      <c r="H1" s="8" t="s">
        <v>10</v>
      </c>
      <c r="I1" s="11" t="s">
        <v>11</v>
      </c>
      <c r="J1" s="2"/>
      <c r="K1" s="2"/>
      <c r="L1" s="2"/>
      <c r="M1" s="2"/>
      <c r="N1" s="2"/>
      <c r="O1" s="2"/>
      <c r="P1" s="2"/>
      <c r="Q1" s="2"/>
      <c r="R1" s="2"/>
      <c r="S1" s="2"/>
      <c r="T1" s="2"/>
      <c r="U1" s="2"/>
      <c r="V1" s="2"/>
      <c r="W1" s="2"/>
      <c r="X1" s="2"/>
      <c r="Y1" s="2"/>
      <c r="Z1" s="2"/>
    </row>
    <row r="2" ht="57.75" customHeight="1">
      <c r="A2" s="1" t="s">
        <v>346</v>
      </c>
      <c r="B2" s="1" t="s">
        <v>347</v>
      </c>
      <c r="C2" s="1" t="s">
        <v>14</v>
      </c>
      <c r="D2" s="1" t="s">
        <v>348</v>
      </c>
      <c r="E2" s="1" t="s">
        <v>349</v>
      </c>
      <c r="G2" s="1" t="s">
        <v>350</v>
      </c>
      <c r="H2" s="1" t="s">
        <v>19</v>
      </c>
      <c r="I2" s="6" t="s">
        <v>351</v>
      </c>
    </row>
    <row r="3" ht="97.5" hidden="1" customHeight="1">
      <c r="A3" s="1" t="s">
        <v>352</v>
      </c>
      <c r="B3" s="1" t="s">
        <v>353</v>
      </c>
      <c r="C3" s="1" t="s">
        <v>53</v>
      </c>
      <c r="D3" s="1" t="s">
        <v>354</v>
      </c>
      <c r="E3" s="1" t="s">
        <v>355</v>
      </c>
      <c r="G3" s="1" t="s">
        <v>350</v>
      </c>
      <c r="H3" s="1" t="s">
        <v>19</v>
      </c>
      <c r="I3" s="6" t="s">
        <v>356</v>
      </c>
    </row>
    <row r="4" ht="63.75" hidden="1" customHeight="1">
      <c r="A4" s="1" t="s">
        <v>346</v>
      </c>
      <c r="B4" s="1" t="s">
        <v>347</v>
      </c>
      <c r="C4" s="1" t="s">
        <v>14</v>
      </c>
      <c r="D4" s="1" t="s">
        <v>348</v>
      </c>
      <c r="E4" s="1" t="s">
        <v>349</v>
      </c>
      <c r="G4" s="1" t="s">
        <v>350</v>
      </c>
      <c r="H4" s="1" t="s">
        <v>19</v>
      </c>
      <c r="I4" s="6" t="s">
        <v>351</v>
      </c>
    </row>
    <row r="5" ht="97.5" hidden="1" customHeight="1">
      <c r="A5" s="1" t="s">
        <v>357</v>
      </c>
      <c r="B5" s="1" t="s">
        <v>358</v>
      </c>
      <c r="C5" s="1" t="s">
        <v>14</v>
      </c>
      <c r="D5" s="1" t="s">
        <v>348</v>
      </c>
      <c r="E5" s="1" t="s">
        <v>359</v>
      </c>
      <c r="F5" s="1" t="s">
        <v>360</v>
      </c>
      <c r="G5" s="1" t="s">
        <v>350</v>
      </c>
      <c r="H5" s="1" t="s">
        <v>19</v>
      </c>
      <c r="I5" s="6" t="s">
        <v>361</v>
      </c>
    </row>
    <row r="6" ht="77.25" hidden="1" customHeight="1">
      <c r="A6" s="17"/>
      <c r="B6" s="17"/>
      <c r="C6" s="18"/>
      <c r="D6" s="17"/>
      <c r="E6" s="17"/>
      <c r="F6" s="21"/>
      <c r="G6" s="18"/>
      <c r="H6" s="18"/>
      <c r="I6" s="22"/>
      <c r="J6" s="20"/>
      <c r="K6" s="20"/>
      <c r="L6" s="20"/>
      <c r="M6" s="20"/>
      <c r="N6" s="20"/>
      <c r="O6" s="20"/>
      <c r="P6" s="20"/>
      <c r="Q6" s="20"/>
      <c r="R6" s="20"/>
      <c r="S6" s="20"/>
      <c r="T6" s="20"/>
      <c r="U6" s="20"/>
      <c r="V6" s="20"/>
      <c r="W6" s="20"/>
      <c r="X6" s="20"/>
      <c r="Y6" s="20"/>
      <c r="Z6" s="20"/>
    </row>
    <row r="7" ht="48.75" customHeight="1">
      <c r="A7" s="1" t="s">
        <v>357</v>
      </c>
      <c r="B7" s="1" t="s">
        <v>358</v>
      </c>
      <c r="C7" s="1" t="s">
        <v>14</v>
      </c>
      <c r="D7" s="1" t="s">
        <v>348</v>
      </c>
      <c r="E7" s="1" t="s">
        <v>359</v>
      </c>
      <c r="F7" s="1" t="s">
        <v>360</v>
      </c>
      <c r="G7" s="1" t="s">
        <v>350</v>
      </c>
      <c r="H7" s="1" t="s">
        <v>19</v>
      </c>
      <c r="I7" s="6" t="s">
        <v>361</v>
      </c>
    </row>
    <row r="8" ht="68.25" customHeight="1">
      <c r="A8" s="1" t="s">
        <v>362</v>
      </c>
      <c r="B8" s="1" t="s">
        <v>363</v>
      </c>
      <c r="C8" s="1" t="s">
        <v>33</v>
      </c>
      <c r="D8" s="1" t="s">
        <v>348</v>
      </c>
      <c r="E8" s="1" t="s">
        <v>364</v>
      </c>
      <c r="F8" s="1" t="s">
        <v>365</v>
      </c>
      <c r="G8" s="1" t="s">
        <v>350</v>
      </c>
      <c r="H8" s="1" t="s">
        <v>19</v>
      </c>
      <c r="I8" s="6" t="s">
        <v>366</v>
      </c>
    </row>
    <row r="9" ht="73.5" customHeight="1">
      <c r="A9" s="1" t="s">
        <v>367</v>
      </c>
      <c r="B9" s="1" t="s">
        <v>368</v>
      </c>
      <c r="C9" s="1" t="s">
        <v>33</v>
      </c>
      <c r="D9" s="1" t="s">
        <v>354</v>
      </c>
      <c r="E9" s="1" t="s">
        <v>369</v>
      </c>
      <c r="F9" s="1" t="s">
        <v>370</v>
      </c>
      <c r="G9" s="1" t="s">
        <v>371</v>
      </c>
      <c r="H9" s="1" t="s">
        <v>60</v>
      </c>
      <c r="I9" s="6" t="s">
        <v>372</v>
      </c>
    </row>
    <row r="10" ht="97.5" customHeight="1">
      <c r="A10" s="1" t="s">
        <v>352</v>
      </c>
      <c r="B10" s="1" t="s">
        <v>353</v>
      </c>
      <c r="C10" s="1" t="s">
        <v>53</v>
      </c>
      <c r="D10" s="1" t="s">
        <v>354</v>
      </c>
      <c r="E10" s="1" t="s">
        <v>355</v>
      </c>
      <c r="G10" s="1" t="s">
        <v>350</v>
      </c>
      <c r="H10" s="1" t="s">
        <v>19</v>
      </c>
      <c r="I10" s="6" t="s">
        <v>356</v>
      </c>
    </row>
    <row r="11" ht="78.0" hidden="1" customHeight="1">
      <c r="A11" s="17"/>
      <c r="B11" s="17"/>
      <c r="C11" s="18"/>
      <c r="D11" s="17"/>
      <c r="E11" s="17"/>
      <c r="F11" s="17"/>
      <c r="G11" s="18"/>
      <c r="H11" s="18"/>
      <c r="I11" s="19"/>
      <c r="J11" s="20"/>
      <c r="K11" s="20"/>
      <c r="L11" s="20"/>
      <c r="M11" s="20"/>
      <c r="N11" s="20"/>
      <c r="O11" s="20"/>
      <c r="P11" s="20"/>
      <c r="Q11" s="20"/>
      <c r="R11" s="20"/>
      <c r="S11" s="20"/>
      <c r="T11" s="20"/>
      <c r="U11" s="20"/>
      <c r="V11" s="20"/>
      <c r="W11" s="20"/>
      <c r="X11" s="20"/>
      <c r="Y11" s="20"/>
      <c r="Z11" s="20"/>
    </row>
    <row r="12" ht="73.5" hidden="1" customHeight="1">
      <c r="A12" s="17"/>
      <c r="B12" s="17"/>
      <c r="C12" s="18"/>
      <c r="D12" s="17"/>
      <c r="E12" s="17"/>
      <c r="F12" s="21"/>
      <c r="G12" s="18"/>
      <c r="H12" s="18"/>
      <c r="I12" s="19"/>
      <c r="J12" s="20"/>
      <c r="K12" s="20"/>
      <c r="L12" s="20"/>
      <c r="M12" s="20"/>
      <c r="N12" s="20"/>
      <c r="O12" s="20"/>
      <c r="P12" s="20"/>
      <c r="Q12" s="20"/>
      <c r="R12" s="20"/>
      <c r="S12" s="20"/>
      <c r="T12" s="20"/>
      <c r="U12" s="20"/>
      <c r="V12" s="20"/>
      <c r="W12" s="20"/>
      <c r="X12" s="20"/>
      <c r="Y12" s="20"/>
      <c r="Z12" s="20"/>
    </row>
    <row r="13" ht="70.5" customHeight="1">
      <c r="A13" s="1" t="s">
        <v>373</v>
      </c>
      <c r="B13" s="1" t="s">
        <v>374</v>
      </c>
      <c r="C13" s="1" t="s">
        <v>53</v>
      </c>
      <c r="D13" s="1" t="s">
        <v>348</v>
      </c>
      <c r="E13" s="1" t="s">
        <v>375</v>
      </c>
      <c r="F13" s="1" t="s">
        <v>376</v>
      </c>
      <c r="G13" s="1" t="s">
        <v>377</v>
      </c>
      <c r="H13" s="1" t="s">
        <v>60</v>
      </c>
      <c r="I13" s="6" t="s">
        <v>378</v>
      </c>
    </row>
    <row r="14" ht="97.5" hidden="1" customHeight="1">
      <c r="A14" s="17"/>
      <c r="B14" s="17"/>
      <c r="C14" s="18"/>
      <c r="D14" s="17"/>
      <c r="E14" s="17"/>
      <c r="F14" s="17"/>
      <c r="G14" s="18"/>
      <c r="H14" s="18"/>
      <c r="I14" s="19"/>
      <c r="J14" s="20"/>
      <c r="K14" s="20"/>
      <c r="L14" s="20"/>
      <c r="M14" s="20"/>
      <c r="N14" s="20"/>
      <c r="O14" s="20"/>
      <c r="P14" s="20"/>
      <c r="Q14" s="20"/>
      <c r="R14" s="20"/>
      <c r="S14" s="20"/>
      <c r="T14" s="20"/>
      <c r="U14" s="20"/>
      <c r="V14" s="20"/>
      <c r="W14" s="20"/>
      <c r="X14" s="20"/>
      <c r="Y14" s="20"/>
      <c r="Z14" s="20"/>
    </row>
    <row r="15" ht="71.25" hidden="1" customHeight="1">
      <c r="A15" s="17"/>
      <c r="B15" s="17"/>
      <c r="C15" s="18"/>
      <c r="D15" s="17"/>
      <c r="E15" s="17"/>
      <c r="F15" s="17"/>
      <c r="G15" s="18"/>
      <c r="H15" s="18"/>
      <c r="I15" s="19"/>
      <c r="J15" s="20"/>
      <c r="K15" s="20"/>
      <c r="L15" s="20"/>
      <c r="M15" s="20"/>
      <c r="N15" s="20"/>
      <c r="O15" s="20"/>
      <c r="P15" s="20"/>
      <c r="Q15" s="20"/>
      <c r="R15" s="20"/>
      <c r="S15" s="20"/>
      <c r="T15" s="20"/>
      <c r="U15" s="20"/>
      <c r="V15" s="20"/>
      <c r="W15" s="20"/>
      <c r="X15" s="20"/>
      <c r="Y15" s="20"/>
      <c r="Z15" s="20"/>
    </row>
    <row r="16" ht="70.5" customHeight="1">
      <c r="A16" s="29"/>
      <c r="B16" s="29"/>
      <c r="C16" s="30"/>
      <c r="D16" s="29"/>
      <c r="E16" s="29"/>
      <c r="F16" s="29"/>
      <c r="G16" s="30"/>
      <c r="H16" s="30"/>
      <c r="I16" s="31"/>
      <c r="J16" s="28"/>
      <c r="K16" s="28"/>
      <c r="L16" s="28"/>
      <c r="M16" s="28"/>
      <c r="N16" s="28"/>
      <c r="O16" s="28"/>
      <c r="P16" s="28"/>
      <c r="Q16" s="28"/>
      <c r="R16" s="28"/>
      <c r="S16" s="28"/>
      <c r="T16" s="28"/>
      <c r="U16" s="28"/>
      <c r="V16" s="28"/>
      <c r="W16" s="28"/>
      <c r="X16" s="28"/>
      <c r="Y16" s="28"/>
      <c r="Z16" s="28"/>
    </row>
    <row r="17" ht="51.0" hidden="1" customHeight="1">
      <c r="A17" s="17"/>
      <c r="B17" s="17"/>
      <c r="C17" s="18"/>
      <c r="D17" s="17"/>
      <c r="E17" s="17"/>
      <c r="F17" s="17"/>
      <c r="G17" s="18"/>
      <c r="H17" s="18"/>
      <c r="I17" s="19"/>
      <c r="J17" s="20"/>
      <c r="K17" s="20"/>
      <c r="L17" s="20"/>
      <c r="M17" s="20"/>
      <c r="N17" s="20"/>
      <c r="O17" s="20"/>
      <c r="P17" s="20"/>
      <c r="Q17" s="20"/>
      <c r="R17" s="20"/>
      <c r="S17" s="20"/>
      <c r="T17" s="20"/>
      <c r="U17" s="20"/>
      <c r="V17" s="20"/>
      <c r="W17" s="20"/>
      <c r="X17" s="20"/>
      <c r="Y17" s="20"/>
      <c r="Z17" s="20"/>
    </row>
    <row r="18" ht="47.25" hidden="1" customHeight="1">
      <c r="A18" s="17"/>
      <c r="B18" s="17"/>
      <c r="C18" s="18"/>
      <c r="D18" s="17"/>
      <c r="E18" s="17"/>
      <c r="F18" s="17"/>
      <c r="G18" s="18"/>
      <c r="H18" s="18"/>
      <c r="I18" s="19"/>
      <c r="J18" s="20"/>
      <c r="K18" s="20"/>
      <c r="L18" s="20"/>
      <c r="M18" s="20"/>
      <c r="N18" s="20"/>
      <c r="O18" s="20"/>
      <c r="P18" s="20"/>
      <c r="Q18" s="20"/>
      <c r="R18" s="20"/>
      <c r="S18" s="20"/>
      <c r="T18" s="20"/>
      <c r="U18" s="20"/>
      <c r="V18" s="20"/>
      <c r="W18" s="20"/>
      <c r="X18" s="20"/>
      <c r="Y18" s="20"/>
      <c r="Z18" s="20"/>
    </row>
    <row r="19">
      <c r="A19" s="32"/>
      <c r="B19" s="32"/>
      <c r="C19" s="33"/>
      <c r="D19" s="33"/>
      <c r="E19" s="32"/>
      <c r="F19" s="34"/>
      <c r="G19" s="33"/>
      <c r="H19" s="33"/>
      <c r="I19" s="35"/>
      <c r="J19" s="33"/>
      <c r="K19" s="33"/>
      <c r="L19" s="33"/>
      <c r="M19" s="33"/>
      <c r="N19" s="33"/>
      <c r="O19" s="33"/>
      <c r="P19" s="33"/>
      <c r="Q19" s="33"/>
      <c r="R19" s="33"/>
      <c r="S19" s="33"/>
      <c r="T19" s="33"/>
      <c r="U19" s="33"/>
      <c r="V19" s="33"/>
      <c r="W19" s="33"/>
      <c r="X19" s="33"/>
      <c r="Y19" s="33"/>
      <c r="Z19" s="33"/>
    </row>
    <row r="20">
      <c r="A20" s="32"/>
      <c r="B20" s="32"/>
      <c r="C20" s="33"/>
      <c r="D20" s="33"/>
      <c r="E20" s="32"/>
      <c r="F20" s="34"/>
      <c r="G20" s="33"/>
      <c r="H20" s="33"/>
      <c r="I20" s="35"/>
      <c r="J20" s="33"/>
      <c r="K20" s="33"/>
      <c r="L20" s="33"/>
      <c r="M20" s="33"/>
      <c r="N20" s="33"/>
      <c r="O20" s="33"/>
      <c r="P20" s="33"/>
      <c r="Q20" s="33"/>
      <c r="R20" s="33"/>
      <c r="S20" s="33"/>
      <c r="T20" s="33"/>
      <c r="U20" s="33"/>
      <c r="V20" s="33"/>
      <c r="W20" s="33"/>
      <c r="X20" s="33"/>
      <c r="Y20" s="33"/>
      <c r="Z20" s="33"/>
    </row>
    <row r="21">
      <c r="A21" s="24"/>
      <c r="B21" s="24"/>
      <c r="C21" s="24"/>
      <c r="D21" s="24"/>
      <c r="E21" s="25"/>
      <c r="F21" s="24"/>
      <c r="G21" s="24"/>
      <c r="H21" s="26"/>
      <c r="I21" s="27"/>
      <c r="J21" s="28"/>
      <c r="K21" s="28"/>
      <c r="L21" s="28"/>
      <c r="M21" s="28"/>
      <c r="N21" s="28"/>
      <c r="O21" s="28"/>
      <c r="P21" s="28"/>
      <c r="Q21" s="28"/>
      <c r="R21" s="28"/>
      <c r="S21" s="28"/>
      <c r="T21" s="28"/>
      <c r="U21" s="28"/>
      <c r="V21" s="28"/>
      <c r="W21" s="28"/>
      <c r="X21" s="28"/>
      <c r="Y21" s="28"/>
      <c r="Z21" s="28"/>
    </row>
    <row r="22">
      <c r="A22" s="24"/>
      <c r="B22" s="24"/>
      <c r="C22" s="24"/>
      <c r="D22" s="24"/>
      <c r="E22" s="25"/>
      <c r="F22" s="24"/>
      <c r="G22" s="24"/>
      <c r="H22" s="26"/>
      <c r="I22" s="27"/>
      <c r="J22" s="28"/>
      <c r="K22" s="28"/>
      <c r="L22" s="28"/>
      <c r="M22" s="28"/>
      <c r="N22" s="28"/>
      <c r="O22" s="28"/>
      <c r="P22" s="28"/>
      <c r="Q22" s="28"/>
      <c r="R22" s="28"/>
      <c r="S22" s="28"/>
      <c r="T22" s="28"/>
      <c r="U22" s="28"/>
      <c r="V22" s="28"/>
      <c r="W22" s="28"/>
      <c r="X22" s="28"/>
      <c r="Y22" s="28"/>
      <c r="Z22" s="28"/>
    </row>
    <row r="23">
      <c r="A23" s="2"/>
      <c r="B23" s="2"/>
      <c r="D23" s="2"/>
      <c r="E23" s="2"/>
      <c r="F23" s="2"/>
      <c r="I23" s="23"/>
    </row>
    <row r="24">
      <c r="A24" s="2"/>
      <c r="B24" s="2"/>
      <c r="D24" s="2"/>
      <c r="E24" s="2"/>
      <c r="F24" s="2"/>
      <c r="I24" s="23"/>
    </row>
    <row r="25">
      <c r="A25" s="2"/>
      <c r="B25" s="2"/>
      <c r="D25" s="2"/>
      <c r="E25" s="2"/>
      <c r="F25" s="2"/>
      <c r="I25" s="23"/>
    </row>
    <row r="26">
      <c r="A26" s="2"/>
      <c r="B26" s="2"/>
      <c r="D26" s="2"/>
      <c r="E26" s="2"/>
      <c r="F26" s="2"/>
      <c r="I26" s="23"/>
    </row>
    <row r="27">
      <c r="A27" s="2"/>
      <c r="B27" s="2"/>
      <c r="D27" s="2"/>
      <c r="E27" s="2"/>
      <c r="F27" s="2"/>
      <c r="I27" s="23"/>
    </row>
    <row r="28">
      <c r="A28" s="2"/>
      <c r="B28" s="2"/>
      <c r="D28" s="2"/>
      <c r="E28" s="2"/>
      <c r="F28" s="2"/>
      <c r="I28" s="23"/>
    </row>
    <row r="29">
      <c r="A29" s="2"/>
      <c r="B29" s="2"/>
      <c r="D29" s="2"/>
      <c r="E29" s="2"/>
      <c r="F29" s="2"/>
      <c r="I29" s="23"/>
    </row>
    <row r="30">
      <c r="A30" s="2"/>
      <c r="B30" s="2"/>
      <c r="D30" s="2"/>
      <c r="E30" s="2"/>
      <c r="F30" s="2"/>
      <c r="I30" s="23"/>
    </row>
    <row r="31">
      <c r="A31" s="2"/>
      <c r="B31" s="2"/>
      <c r="D31" s="2"/>
      <c r="E31" s="2"/>
      <c r="F31" s="2"/>
      <c r="I31" s="23"/>
    </row>
    <row r="32">
      <c r="A32" s="2"/>
      <c r="B32" s="2"/>
      <c r="D32" s="2"/>
      <c r="E32" s="2"/>
      <c r="F32" s="2"/>
      <c r="I32" s="23"/>
    </row>
    <row r="33">
      <c r="A33" s="2"/>
      <c r="B33" s="2"/>
      <c r="D33" s="2"/>
      <c r="E33" s="2"/>
      <c r="F33" s="2"/>
      <c r="I33" s="23"/>
    </row>
    <row r="34">
      <c r="A34" s="2"/>
      <c r="B34" s="2"/>
      <c r="D34" s="2"/>
      <c r="E34" s="2"/>
      <c r="F34" s="2"/>
      <c r="I34" s="23"/>
    </row>
    <row r="35">
      <c r="A35" s="2"/>
      <c r="B35" s="2"/>
      <c r="D35" s="2"/>
      <c r="E35" s="2"/>
      <c r="F35" s="2"/>
      <c r="I35" s="23"/>
    </row>
    <row r="36">
      <c r="A36" s="2"/>
      <c r="B36" s="2"/>
      <c r="D36" s="2"/>
      <c r="E36" s="2"/>
      <c r="F36" s="2"/>
      <c r="I36" s="23"/>
    </row>
    <row r="37">
      <c r="A37" s="2"/>
      <c r="B37" s="2"/>
      <c r="D37" s="2"/>
      <c r="E37" s="2"/>
      <c r="F37" s="2"/>
      <c r="I37" s="23"/>
    </row>
    <row r="38">
      <c r="A38" s="2"/>
      <c r="B38" s="2"/>
      <c r="D38" s="2"/>
      <c r="E38" s="2"/>
      <c r="F38" s="2"/>
      <c r="I38" s="23"/>
    </row>
    <row r="39">
      <c r="A39" s="2"/>
      <c r="B39" s="2"/>
      <c r="D39" s="2"/>
      <c r="E39" s="2"/>
      <c r="F39" s="2"/>
      <c r="I39" s="23"/>
    </row>
    <row r="40">
      <c r="A40" s="2"/>
      <c r="B40" s="2"/>
      <c r="D40" s="2"/>
      <c r="E40" s="2"/>
      <c r="F40" s="2"/>
      <c r="I40" s="23"/>
    </row>
    <row r="41">
      <c r="A41" s="2"/>
      <c r="B41" s="2"/>
      <c r="D41" s="2"/>
      <c r="E41" s="2"/>
      <c r="F41" s="2"/>
      <c r="I41" s="23"/>
    </row>
    <row r="42">
      <c r="A42" s="2"/>
      <c r="B42" s="2"/>
      <c r="D42" s="2"/>
      <c r="E42" s="2"/>
      <c r="F42" s="2"/>
      <c r="I42" s="23"/>
    </row>
    <row r="43">
      <c r="A43" s="2"/>
      <c r="B43" s="2"/>
      <c r="D43" s="2"/>
      <c r="E43" s="2"/>
      <c r="F43" s="2"/>
      <c r="I43" s="23"/>
    </row>
    <row r="44">
      <c r="A44" s="2"/>
      <c r="B44" s="2"/>
      <c r="D44" s="2"/>
      <c r="E44" s="2"/>
      <c r="F44" s="2"/>
      <c r="I44" s="23"/>
    </row>
    <row r="45">
      <c r="A45" s="2"/>
      <c r="B45" s="2"/>
      <c r="D45" s="2"/>
      <c r="E45" s="2"/>
      <c r="F45" s="2"/>
      <c r="I45" s="23"/>
    </row>
    <row r="46">
      <c r="A46" s="2"/>
      <c r="B46" s="2"/>
      <c r="D46" s="2"/>
      <c r="E46" s="2"/>
      <c r="F46" s="2"/>
      <c r="I46" s="23"/>
    </row>
    <row r="47">
      <c r="A47" s="2"/>
      <c r="B47" s="2"/>
      <c r="D47" s="2"/>
      <c r="E47" s="2"/>
      <c r="F47" s="2"/>
      <c r="I47" s="23"/>
    </row>
    <row r="48">
      <c r="A48" s="2"/>
      <c r="B48" s="2"/>
      <c r="D48" s="2"/>
      <c r="E48" s="2"/>
      <c r="F48" s="2"/>
      <c r="I48" s="23"/>
    </row>
    <row r="49">
      <c r="A49" s="2"/>
      <c r="B49" s="2"/>
      <c r="D49" s="2"/>
      <c r="E49" s="2"/>
      <c r="F49" s="2"/>
      <c r="I49" s="23"/>
    </row>
    <row r="50">
      <c r="A50" s="2"/>
      <c r="B50" s="2"/>
      <c r="D50" s="2"/>
      <c r="E50" s="2"/>
      <c r="F50" s="2"/>
      <c r="I50" s="23"/>
    </row>
    <row r="51">
      <c r="A51" s="2"/>
      <c r="B51" s="2"/>
      <c r="D51" s="2"/>
      <c r="E51" s="2"/>
      <c r="F51" s="2"/>
      <c r="I51" s="23"/>
    </row>
    <row r="52">
      <c r="A52" s="2"/>
      <c r="B52" s="2"/>
      <c r="D52" s="2"/>
      <c r="E52" s="2"/>
      <c r="F52" s="2"/>
      <c r="I52" s="23"/>
    </row>
    <row r="53">
      <c r="A53" s="2"/>
      <c r="B53" s="2"/>
      <c r="D53" s="2"/>
      <c r="E53" s="2"/>
      <c r="F53" s="2"/>
      <c r="I53" s="23"/>
    </row>
    <row r="54">
      <c r="A54" s="2"/>
      <c r="B54" s="2"/>
      <c r="D54" s="2"/>
      <c r="E54" s="2"/>
      <c r="F54" s="2"/>
      <c r="I54" s="23"/>
    </row>
    <row r="55">
      <c r="A55" s="2"/>
      <c r="B55" s="2"/>
      <c r="D55" s="2"/>
      <c r="E55" s="2"/>
      <c r="F55" s="2"/>
      <c r="I55" s="23"/>
    </row>
    <row r="56">
      <c r="A56" s="2"/>
      <c r="B56" s="2"/>
      <c r="D56" s="2"/>
      <c r="E56" s="2"/>
      <c r="F56" s="2"/>
      <c r="I56" s="23"/>
    </row>
    <row r="57">
      <c r="A57" s="2"/>
      <c r="B57" s="2"/>
      <c r="D57" s="2"/>
      <c r="E57" s="2"/>
      <c r="F57" s="2"/>
      <c r="I57" s="23"/>
    </row>
    <row r="58">
      <c r="A58" s="2"/>
      <c r="B58" s="2"/>
      <c r="D58" s="2"/>
      <c r="E58" s="2"/>
      <c r="F58" s="2"/>
      <c r="I58" s="23"/>
    </row>
    <row r="59">
      <c r="A59" s="2"/>
      <c r="B59" s="2"/>
      <c r="D59" s="2"/>
      <c r="E59" s="2"/>
      <c r="F59" s="2"/>
      <c r="I59" s="23"/>
    </row>
    <row r="60">
      <c r="A60" s="2"/>
      <c r="B60" s="2"/>
      <c r="D60" s="2"/>
      <c r="E60" s="2"/>
      <c r="F60" s="2"/>
      <c r="I60" s="23"/>
    </row>
    <row r="61">
      <c r="A61" s="2"/>
      <c r="B61" s="2"/>
      <c r="D61" s="2"/>
      <c r="E61" s="2"/>
      <c r="F61" s="2"/>
      <c r="I61" s="23"/>
    </row>
    <row r="62">
      <c r="A62" s="2"/>
      <c r="B62" s="2"/>
      <c r="D62" s="2"/>
      <c r="E62" s="2"/>
      <c r="F62" s="2"/>
      <c r="I62" s="23"/>
    </row>
    <row r="63">
      <c r="A63" s="2"/>
      <c r="B63" s="2"/>
      <c r="D63" s="2"/>
      <c r="E63" s="2"/>
      <c r="F63" s="2"/>
      <c r="I63" s="23"/>
    </row>
    <row r="64">
      <c r="A64" s="2"/>
      <c r="B64" s="2"/>
      <c r="D64" s="2"/>
      <c r="E64" s="2"/>
      <c r="F64" s="2"/>
      <c r="I64" s="23"/>
    </row>
    <row r="65">
      <c r="A65" s="2"/>
      <c r="B65" s="2"/>
      <c r="D65" s="2"/>
      <c r="E65" s="2"/>
      <c r="F65" s="2"/>
      <c r="I65" s="23"/>
    </row>
    <row r="66">
      <c r="A66" s="2"/>
      <c r="B66" s="2"/>
      <c r="D66" s="2"/>
      <c r="E66" s="2"/>
      <c r="F66" s="2"/>
      <c r="I66" s="23"/>
    </row>
    <row r="67">
      <c r="A67" s="2"/>
      <c r="B67" s="2"/>
      <c r="D67" s="2"/>
      <c r="E67" s="2"/>
      <c r="F67" s="2"/>
      <c r="I67" s="23"/>
    </row>
    <row r="68">
      <c r="A68" s="2"/>
      <c r="B68" s="2"/>
      <c r="D68" s="2"/>
      <c r="E68" s="2"/>
      <c r="F68" s="2"/>
      <c r="I68" s="23"/>
    </row>
    <row r="69">
      <c r="A69" s="2"/>
      <c r="B69" s="2"/>
      <c r="D69" s="2"/>
      <c r="E69" s="2"/>
      <c r="F69" s="2"/>
      <c r="I69" s="23"/>
    </row>
    <row r="70">
      <c r="A70" s="2"/>
      <c r="B70" s="2"/>
      <c r="D70" s="2"/>
      <c r="E70" s="2"/>
      <c r="F70" s="2"/>
      <c r="I70" s="23"/>
    </row>
    <row r="71">
      <c r="A71" s="2"/>
      <c r="B71" s="2"/>
      <c r="D71" s="2"/>
      <c r="E71" s="2"/>
      <c r="F71" s="2"/>
      <c r="I71" s="23"/>
    </row>
    <row r="72">
      <c r="A72" s="2"/>
      <c r="B72" s="2"/>
      <c r="D72" s="2"/>
      <c r="E72" s="2"/>
      <c r="F72" s="2"/>
      <c r="I72" s="23"/>
    </row>
    <row r="73">
      <c r="A73" s="2"/>
      <c r="B73" s="2"/>
      <c r="D73" s="2"/>
      <c r="E73" s="2"/>
      <c r="F73" s="2"/>
      <c r="I73" s="23"/>
    </row>
    <row r="74">
      <c r="A74" s="2"/>
      <c r="B74" s="2"/>
      <c r="D74" s="2"/>
      <c r="E74" s="2"/>
      <c r="F74" s="2"/>
      <c r="I74" s="23"/>
    </row>
    <row r="75">
      <c r="A75" s="2"/>
      <c r="B75" s="2"/>
      <c r="D75" s="2"/>
      <c r="E75" s="2"/>
      <c r="F75" s="2"/>
      <c r="I75" s="23"/>
    </row>
    <row r="76">
      <c r="A76" s="2"/>
      <c r="B76" s="2"/>
      <c r="D76" s="2"/>
      <c r="E76" s="2"/>
      <c r="F76" s="2"/>
      <c r="I76" s="23"/>
    </row>
    <row r="77">
      <c r="A77" s="2"/>
      <c r="B77" s="2"/>
      <c r="D77" s="2"/>
      <c r="E77" s="2"/>
      <c r="F77" s="2"/>
      <c r="I77" s="23"/>
    </row>
    <row r="78">
      <c r="A78" s="2"/>
      <c r="B78" s="2"/>
      <c r="D78" s="2"/>
      <c r="E78" s="2"/>
      <c r="F78" s="2"/>
      <c r="I78" s="23"/>
    </row>
    <row r="79">
      <c r="A79" s="2"/>
      <c r="B79" s="2"/>
      <c r="D79" s="2"/>
      <c r="E79" s="2"/>
      <c r="F79" s="2"/>
      <c r="I79" s="23"/>
    </row>
    <row r="80">
      <c r="A80" s="2"/>
      <c r="B80" s="2"/>
      <c r="D80" s="2"/>
      <c r="E80" s="2"/>
      <c r="F80" s="2"/>
      <c r="I80" s="23"/>
    </row>
    <row r="81">
      <c r="A81" s="2"/>
      <c r="B81" s="2"/>
      <c r="D81" s="2"/>
      <c r="E81" s="2"/>
      <c r="F81" s="2"/>
      <c r="I81" s="23"/>
    </row>
    <row r="82">
      <c r="A82" s="2"/>
      <c r="B82" s="2"/>
      <c r="D82" s="2"/>
      <c r="E82" s="2"/>
      <c r="F82" s="2"/>
      <c r="I82" s="23"/>
    </row>
    <row r="83">
      <c r="A83" s="2"/>
      <c r="B83" s="2"/>
      <c r="D83" s="2"/>
      <c r="E83" s="2"/>
      <c r="F83" s="2"/>
      <c r="I83" s="23"/>
    </row>
    <row r="84">
      <c r="A84" s="2"/>
      <c r="B84" s="2"/>
      <c r="D84" s="2"/>
      <c r="E84" s="2"/>
      <c r="F84" s="2"/>
      <c r="I84" s="23"/>
    </row>
    <row r="85">
      <c r="A85" s="2"/>
      <c r="B85" s="2"/>
      <c r="D85" s="2"/>
      <c r="E85" s="2"/>
      <c r="F85" s="2"/>
      <c r="I85" s="23"/>
    </row>
    <row r="86">
      <c r="A86" s="2"/>
      <c r="B86" s="2"/>
      <c r="D86" s="2"/>
      <c r="E86" s="2"/>
      <c r="F86" s="2"/>
      <c r="I86" s="23"/>
    </row>
    <row r="87">
      <c r="A87" s="2"/>
      <c r="B87" s="2"/>
      <c r="D87" s="2"/>
      <c r="E87" s="2"/>
      <c r="F87" s="2"/>
      <c r="I87" s="23"/>
    </row>
    <row r="88">
      <c r="A88" s="2"/>
      <c r="B88" s="2"/>
      <c r="D88" s="2"/>
      <c r="E88" s="2"/>
      <c r="F88" s="2"/>
      <c r="I88" s="23"/>
    </row>
    <row r="89">
      <c r="A89" s="2"/>
      <c r="B89" s="2"/>
      <c r="D89" s="2"/>
      <c r="E89" s="2"/>
      <c r="F89" s="2"/>
      <c r="I89" s="23"/>
    </row>
    <row r="90">
      <c r="A90" s="2"/>
      <c r="B90" s="2"/>
      <c r="D90" s="2"/>
      <c r="E90" s="2"/>
      <c r="F90" s="2"/>
      <c r="I90" s="23"/>
    </row>
    <row r="91">
      <c r="A91" s="2"/>
      <c r="B91" s="2"/>
      <c r="D91" s="2"/>
      <c r="E91" s="2"/>
      <c r="F91" s="2"/>
      <c r="I91" s="23"/>
    </row>
    <row r="92">
      <c r="A92" s="2"/>
      <c r="B92" s="2"/>
      <c r="D92" s="2"/>
      <c r="E92" s="2"/>
      <c r="F92" s="2"/>
      <c r="I92" s="23"/>
    </row>
    <row r="93">
      <c r="A93" s="2"/>
      <c r="B93" s="2"/>
      <c r="D93" s="2"/>
      <c r="E93" s="2"/>
      <c r="F93" s="2"/>
      <c r="I93" s="23"/>
    </row>
    <row r="94">
      <c r="A94" s="2"/>
      <c r="B94" s="2"/>
      <c r="D94" s="2"/>
      <c r="E94" s="2"/>
      <c r="F94" s="2"/>
      <c r="I94" s="23"/>
    </row>
    <row r="95">
      <c r="A95" s="2"/>
      <c r="B95" s="2"/>
      <c r="D95" s="2"/>
      <c r="E95" s="2"/>
      <c r="F95" s="2"/>
      <c r="I95" s="23"/>
    </row>
    <row r="96">
      <c r="A96" s="2"/>
      <c r="B96" s="2"/>
      <c r="D96" s="2"/>
      <c r="E96" s="2"/>
      <c r="F96" s="2"/>
      <c r="I96" s="23"/>
    </row>
    <row r="97">
      <c r="A97" s="2"/>
      <c r="B97" s="2"/>
      <c r="D97" s="2"/>
      <c r="E97" s="2"/>
      <c r="F97" s="2"/>
      <c r="I97" s="23"/>
    </row>
    <row r="98">
      <c r="A98" s="2"/>
      <c r="B98" s="2"/>
      <c r="D98" s="2"/>
      <c r="E98" s="2"/>
      <c r="F98" s="2"/>
      <c r="I98" s="23"/>
    </row>
    <row r="99">
      <c r="A99" s="2"/>
      <c r="B99" s="2"/>
      <c r="D99" s="2"/>
      <c r="E99" s="2"/>
      <c r="F99" s="2"/>
      <c r="I99" s="23"/>
    </row>
    <row r="100">
      <c r="A100" s="2"/>
      <c r="B100" s="2"/>
      <c r="D100" s="2"/>
      <c r="E100" s="2"/>
      <c r="F100" s="2"/>
      <c r="I100" s="23"/>
    </row>
    <row r="101">
      <c r="A101" s="2"/>
      <c r="B101" s="2"/>
      <c r="D101" s="2"/>
      <c r="E101" s="2"/>
      <c r="F101" s="2"/>
      <c r="I101" s="23"/>
    </row>
    <row r="102">
      <c r="A102" s="2"/>
      <c r="B102" s="2"/>
      <c r="D102" s="2"/>
      <c r="E102" s="2"/>
      <c r="F102" s="2"/>
      <c r="I102" s="23"/>
    </row>
    <row r="103">
      <c r="A103" s="2"/>
      <c r="B103" s="2"/>
      <c r="D103" s="2"/>
      <c r="E103" s="2"/>
      <c r="F103" s="2"/>
      <c r="I103" s="23"/>
    </row>
    <row r="104">
      <c r="A104" s="2"/>
      <c r="B104" s="2"/>
      <c r="D104" s="2"/>
      <c r="E104" s="2"/>
      <c r="F104" s="2"/>
      <c r="I104" s="23"/>
    </row>
    <row r="105">
      <c r="A105" s="2"/>
      <c r="B105" s="2"/>
      <c r="D105" s="2"/>
      <c r="E105" s="2"/>
      <c r="F105" s="2"/>
      <c r="I105" s="23"/>
    </row>
    <row r="106">
      <c r="A106" s="2"/>
      <c r="B106" s="2"/>
      <c r="D106" s="2"/>
      <c r="E106" s="2"/>
      <c r="F106" s="2"/>
      <c r="I106" s="23"/>
    </row>
    <row r="107">
      <c r="A107" s="2"/>
      <c r="B107" s="2"/>
      <c r="D107" s="2"/>
      <c r="E107" s="2"/>
      <c r="F107" s="2"/>
      <c r="I107" s="23"/>
    </row>
    <row r="108">
      <c r="A108" s="2"/>
      <c r="B108" s="2"/>
      <c r="D108" s="2"/>
      <c r="E108" s="2"/>
      <c r="F108" s="2"/>
      <c r="I108" s="23"/>
    </row>
    <row r="109">
      <c r="A109" s="2"/>
      <c r="B109" s="2"/>
      <c r="D109" s="2"/>
      <c r="E109" s="2"/>
      <c r="F109" s="2"/>
      <c r="I109" s="23"/>
    </row>
    <row r="110">
      <c r="A110" s="2"/>
      <c r="B110" s="2"/>
      <c r="D110" s="2"/>
      <c r="E110" s="2"/>
      <c r="F110" s="2"/>
      <c r="I110" s="23"/>
    </row>
    <row r="111">
      <c r="A111" s="2"/>
      <c r="B111" s="2"/>
      <c r="D111" s="2"/>
      <c r="E111" s="2"/>
      <c r="F111" s="2"/>
      <c r="I111" s="23"/>
    </row>
    <row r="112">
      <c r="A112" s="2"/>
      <c r="B112" s="2"/>
      <c r="D112" s="2"/>
      <c r="E112" s="2"/>
      <c r="F112" s="2"/>
      <c r="I112" s="23"/>
    </row>
    <row r="113">
      <c r="A113" s="2"/>
      <c r="B113" s="2"/>
      <c r="D113" s="2"/>
      <c r="E113" s="2"/>
      <c r="F113" s="2"/>
      <c r="I113" s="23"/>
    </row>
    <row r="114">
      <c r="A114" s="2"/>
      <c r="B114" s="2"/>
      <c r="D114" s="2"/>
      <c r="E114" s="2"/>
      <c r="F114" s="2"/>
      <c r="I114" s="23"/>
    </row>
    <row r="115">
      <c r="A115" s="2"/>
      <c r="B115" s="2"/>
      <c r="D115" s="2"/>
      <c r="E115" s="2"/>
      <c r="F115" s="2"/>
      <c r="I115" s="23"/>
    </row>
    <row r="116">
      <c r="A116" s="2"/>
      <c r="B116" s="2"/>
      <c r="D116" s="2"/>
      <c r="E116" s="2"/>
      <c r="F116" s="2"/>
      <c r="I116" s="23"/>
    </row>
    <row r="117">
      <c r="A117" s="2"/>
      <c r="B117" s="2"/>
      <c r="D117" s="2"/>
      <c r="E117" s="2"/>
      <c r="F117" s="2"/>
      <c r="I117" s="23"/>
    </row>
    <row r="118">
      <c r="A118" s="2"/>
      <c r="B118" s="2"/>
      <c r="D118" s="2"/>
      <c r="E118" s="2"/>
      <c r="F118" s="2"/>
      <c r="I118" s="23"/>
    </row>
  </sheetData>
  <autoFilter ref="$D$1:$D$118"/>
  <hyperlinks>
    <hyperlink r:id="rId1" ref="I2"/>
    <hyperlink r:id="rId2" ref="I3"/>
    <hyperlink r:id="rId3" ref="I4"/>
    <hyperlink r:id="rId4" ref="I5"/>
    <hyperlink r:id="rId5" ref="I7"/>
    <hyperlink r:id="rId6" ref="I8"/>
    <hyperlink r:id="rId7" ref="I9"/>
    <hyperlink r:id="rId8" ref="I10"/>
    <hyperlink r:id="rId9" ref="I13"/>
  </hyperlinks>
  <drawing r:id="rId10"/>
</worksheet>
</file>